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45b4690c3cb047e7/Work/Momentum3/Trust Software/"/>
    </mc:Choice>
  </mc:AlternateContent>
  <xr:revisionPtr revIDLastSave="358" documentId="102_{C5662A01-E2C9-40AD-A82D-E27C1771D68C}" xr6:coauthVersionLast="41" xr6:coauthVersionMax="41" xr10:uidLastSave="{BA8AC576-873D-403F-8185-B00E82F9140B}"/>
  <bookViews>
    <workbookView xWindow="28035" yWindow="645" windowWidth="22695" windowHeight="17325" activeTab="5" xr2:uid="{00000000-000D-0000-FFFF-FFFF00000000}"/>
  </bookViews>
  <sheets>
    <sheet name="Revenue Model" sheetId="1" r:id="rId1"/>
    <sheet name="Dev. Items" sheetId="2" r:id="rId2"/>
    <sheet name="Discussion" sheetId="3" r:id="rId3"/>
    <sheet name="Tech Buyers Guide" sheetId="4" r:id="rId4"/>
    <sheet name="Tasks" sheetId="6" r:id="rId5"/>
    <sheet name="Pitch Summary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7" l="1"/>
  <c r="H24" i="7"/>
  <c r="D22" i="7"/>
  <c r="V10" i="1" l="1"/>
  <c r="V11" i="1" s="1"/>
  <c r="U10" i="1"/>
  <c r="U11" i="1" s="1"/>
  <c r="C77" i="1"/>
  <c r="B77" i="1"/>
  <c r="B23" i="2"/>
  <c r="C76" i="1"/>
  <c r="B76" i="1"/>
  <c r="S18" i="1" l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C10" i="7" l="1"/>
  <c r="D10" i="7" s="1"/>
  <c r="S44" i="1"/>
  <c r="R44" i="1"/>
  <c r="Q44" i="1"/>
  <c r="P44" i="1"/>
  <c r="O44" i="1"/>
  <c r="N44" i="1"/>
  <c r="M44" i="1"/>
  <c r="L44" i="1"/>
  <c r="K44" i="1"/>
  <c r="J44" i="1"/>
  <c r="I44" i="1"/>
  <c r="S43" i="1"/>
  <c r="R43" i="1"/>
  <c r="Q43" i="1"/>
  <c r="P43" i="1"/>
  <c r="O43" i="1"/>
  <c r="N43" i="1"/>
  <c r="M43" i="1"/>
  <c r="L43" i="1"/>
  <c r="K43" i="1"/>
  <c r="J43" i="1"/>
  <c r="I43" i="1"/>
  <c r="S42" i="1"/>
  <c r="R42" i="1"/>
  <c r="Q42" i="1"/>
  <c r="P42" i="1"/>
  <c r="O42" i="1"/>
  <c r="N42" i="1"/>
  <c r="M42" i="1"/>
  <c r="L42" i="1"/>
  <c r="K42" i="1"/>
  <c r="J42" i="1"/>
  <c r="I42" i="1"/>
  <c r="S41" i="1"/>
  <c r="R41" i="1"/>
  <c r="Q41" i="1"/>
  <c r="P41" i="1"/>
  <c r="O41" i="1"/>
  <c r="N41" i="1"/>
  <c r="M41" i="1"/>
  <c r="L41" i="1"/>
  <c r="K41" i="1"/>
  <c r="J41" i="1"/>
  <c r="I41" i="1"/>
  <c r="E42" i="1"/>
  <c r="E41" i="1"/>
  <c r="G44" i="1"/>
  <c r="F44" i="1"/>
  <c r="E44" i="1"/>
  <c r="G43" i="1"/>
  <c r="F43" i="1"/>
  <c r="E43" i="1"/>
  <c r="G42" i="1"/>
  <c r="F42" i="1"/>
  <c r="G41" i="1"/>
  <c r="F41" i="1"/>
  <c r="H44" i="1"/>
  <c r="H43" i="1"/>
  <c r="H42" i="1"/>
  <c r="H41" i="1"/>
  <c r="H11" i="1"/>
  <c r="H8" i="1"/>
  <c r="H32" i="1"/>
  <c r="H33" i="1"/>
  <c r="E32" i="1"/>
  <c r="R9" i="1" l="1"/>
  <c r="F9" i="1"/>
  <c r="G9" i="1"/>
  <c r="E9" i="1"/>
  <c r="H9" i="1"/>
  <c r="H27" i="1" s="1"/>
  <c r="J9" i="1"/>
  <c r="P9" i="1"/>
  <c r="S9" i="1"/>
  <c r="Q9" i="1"/>
  <c r="N9" i="1"/>
  <c r="L9" i="1"/>
  <c r="M9" i="1"/>
  <c r="K9" i="1"/>
  <c r="I9" i="1"/>
  <c r="O9" i="1" l="1"/>
  <c r="J8" i="1" l="1"/>
  <c r="J27" i="1" s="1"/>
  <c r="I8" i="1"/>
  <c r="I27" i="1" s="1"/>
  <c r="F8" i="1"/>
  <c r="F27" i="1" s="1"/>
  <c r="E8" i="1"/>
  <c r="E27" i="1" l="1"/>
  <c r="E10" i="1"/>
  <c r="F10" i="1" s="1"/>
  <c r="C34" i="7" l="1"/>
  <c r="D34" i="7" s="1"/>
  <c r="D37" i="7" s="1"/>
  <c r="D25" i="7"/>
  <c r="D13" i="7" l="1"/>
  <c r="C14" i="2" l="1"/>
  <c r="C16" i="2"/>
  <c r="C5" i="2" l="1"/>
  <c r="B19" i="2"/>
  <c r="J50" i="1" l="1"/>
  <c r="I50" i="1"/>
  <c r="H50" i="1"/>
  <c r="G50" i="1"/>
  <c r="F50" i="1"/>
  <c r="E50" i="1"/>
  <c r="E7" i="1"/>
  <c r="F7" i="1" s="1"/>
  <c r="E11" i="1"/>
  <c r="F11" i="1"/>
  <c r="G11" i="1"/>
  <c r="I11" i="1"/>
  <c r="J11" i="1"/>
  <c r="K11" i="1"/>
  <c r="L11" i="1"/>
  <c r="M11" i="1"/>
  <c r="N11" i="1"/>
  <c r="O11" i="1"/>
  <c r="P11" i="1"/>
  <c r="Q11" i="1"/>
  <c r="R11" i="1"/>
  <c r="S11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F32" i="1"/>
  <c r="G32" i="1"/>
  <c r="I32" i="1"/>
  <c r="J32" i="1"/>
  <c r="K32" i="1"/>
  <c r="L32" i="1"/>
  <c r="M32" i="1"/>
  <c r="N32" i="1"/>
  <c r="O32" i="1"/>
  <c r="P32" i="1"/>
  <c r="Q32" i="1"/>
  <c r="R32" i="1"/>
  <c r="S32" i="1"/>
  <c r="E33" i="1"/>
  <c r="F33" i="1"/>
  <c r="G33" i="1"/>
  <c r="I33" i="1"/>
  <c r="J33" i="1"/>
  <c r="K33" i="1"/>
  <c r="L33" i="1"/>
  <c r="M33" i="1"/>
  <c r="N33" i="1"/>
  <c r="O33" i="1"/>
  <c r="P33" i="1"/>
  <c r="Q33" i="1"/>
  <c r="R33" i="1"/>
  <c r="S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E16" i="1" l="1"/>
  <c r="P8" i="1"/>
  <c r="P27" i="1" s="1"/>
  <c r="G8" i="1"/>
  <c r="Q8" i="1"/>
  <c r="Q27" i="1" s="1"/>
  <c r="O8" i="1"/>
  <c r="O27" i="1" s="1"/>
  <c r="N8" i="1"/>
  <c r="N27" i="1" s="1"/>
  <c r="M8" i="1"/>
  <c r="M27" i="1" s="1"/>
  <c r="L8" i="1"/>
  <c r="L27" i="1" s="1"/>
  <c r="S8" i="1"/>
  <c r="S27" i="1" s="1"/>
  <c r="K8" i="1"/>
  <c r="K27" i="1" s="1"/>
  <c r="R8" i="1"/>
  <c r="R27" i="1" s="1"/>
  <c r="E22" i="1"/>
  <c r="G7" i="1"/>
  <c r="F16" i="1"/>
  <c r="C15" i="2"/>
  <c r="C13" i="2"/>
  <c r="C12" i="2"/>
  <c r="C11" i="2"/>
  <c r="C10" i="2"/>
  <c r="C8" i="2"/>
  <c r="C7" i="2"/>
  <c r="C6" i="2"/>
  <c r="C19" i="2" l="1"/>
  <c r="G27" i="1"/>
  <c r="G10" i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E14" i="1"/>
  <c r="E24" i="1" s="1"/>
  <c r="E51" i="1" s="1"/>
  <c r="E52" i="1" s="1"/>
  <c r="F14" i="1"/>
  <c r="H7" i="1"/>
  <c r="G16" i="1"/>
  <c r="F22" i="1" l="1"/>
  <c r="F24" i="1" s="1"/>
  <c r="F51" i="1" s="1"/>
  <c r="F52" i="1" s="1"/>
  <c r="H16" i="1"/>
  <c r="I7" i="1"/>
  <c r="G22" i="1" l="1"/>
  <c r="G14" i="1"/>
  <c r="H22" i="1"/>
  <c r="H14" i="1"/>
  <c r="J7" i="1"/>
  <c r="I16" i="1"/>
  <c r="G24" i="1" l="1"/>
  <c r="G51" i="1" s="1"/>
  <c r="G52" i="1" s="1"/>
  <c r="H24" i="1"/>
  <c r="H51" i="1" s="1"/>
  <c r="K7" i="1"/>
  <c r="J16" i="1"/>
  <c r="I14" i="1"/>
  <c r="I22" i="1"/>
  <c r="H52" i="1" l="1"/>
  <c r="J22" i="1"/>
  <c r="J14" i="1"/>
  <c r="I24" i="1"/>
  <c r="I51" i="1" s="1"/>
  <c r="K16" i="1"/>
  <c r="L7" i="1"/>
  <c r="I52" i="1" l="1"/>
  <c r="J24" i="1"/>
  <c r="J51" i="1" s="1"/>
  <c r="K22" i="1"/>
  <c r="K14" i="1"/>
  <c r="M7" i="1"/>
  <c r="L16" i="1"/>
  <c r="J52" i="1" l="1"/>
  <c r="N7" i="1"/>
  <c r="N16" i="1" s="1"/>
  <c r="M16" i="1"/>
  <c r="L22" i="1"/>
  <c r="L14" i="1"/>
  <c r="K24" i="1"/>
  <c r="K51" i="1" s="1"/>
  <c r="K52" i="1" l="1"/>
  <c r="M22" i="1"/>
  <c r="M14" i="1"/>
  <c r="L24" i="1"/>
  <c r="L51" i="1" s="1"/>
  <c r="O7" i="1"/>
  <c r="L52" i="1" l="1"/>
  <c r="P7" i="1"/>
  <c r="O16" i="1"/>
  <c r="O14" i="1"/>
  <c r="N14" i="1"/>
  <c r="N22" i="1"/>
  <c r="M24" i="1"/>
  <c r="M51" i="1" s="1"/>
  <c r="M52" i="1" l="1"/>
  <c r="N24" i="1"/>
  <c r="N51" i="1" s="1"/>
  <c r="O22" i="1"/>
  <c r="P16" i="1"/>
  <c r="Q7" i="1"/>
  <c r="N52" i="1" l="1"/>
  <c r="O24" i="1"/>
  <c r="O51" i="1" s="1"/>
  <c r="P22" i="1"/>
  <c r="P14" i="1"/>
  <c r="R7" i="1"/>
  <c r="Q16" i="1"/>
  <c r="O52" i="1" l="1"/>
  <c r="P24" i="1"/>
  <c r="P51" i="1" s="1"/>
  <c r="S7" i="1"/>
  <c r="S16" i="1" s="1"/>
  <c r="R16" i="1"/>
  <c r="Q14" i="1"/>
  <c r="Q22" i="1"/>
  <c r="P52" i="1" l="1"/>
  <c r="R22" i="1"/>
  <c r="R14" i="1"/>
  <c r="Q24" i="1"/>
  <c r="Q51" i="1" s="1"/>
  <c r="Q52" i="1" l="1"/>
  <c r="R24" i="1"/>
  <c r="R51" i="1" s="1"/>
  <c r="S22" i="1"/>
  <c r="S14" i="1"/>
  <c r="R52" i="1" l="1"/>
  <c r="S24" i="1"/>
  <c r="S51" i="1" l="1"/>
  <c r="S52" i="1" s="1"/>
</calcChain>
</file>

<file path=xl/sharedStrings.xml><?xml version="1.0" encoding="utf-8"?>
<sst xmlns="http://schemas.openxmlformats.org/spreadsheetml/2006/main" count="181" uniqueCount="156">
  <si>
    <t>NET</t>
  </si>
  <si>
    <t>Over 3 Years</t>
  </si>
  <si>
    <t>Business SME - Sales</t>
  </si>
  <si>
    <t>New Sale - # of Accounts</t>
  </si>
  <si>
    <t>Price</t>
  </si>
  <si>
    <t>New Sales $$</t>
  </si>
  <si>
    <t>Total Monthly License Fee</t>
  </si>
  <si>
    <t>Total Monthly Expenses</t>
  </si>
  <si>
    <t>Month</t>
  </si>
  <si>
    <t>Hosting Fees (per Act.)</t>
  </si>
  <si>
    <t>G&amp;A</t>
  </si>
  <si>
    <t>Outstanding Task List</t>
  </si>
  <si>
    <t>Est. Hrs.</t>
  </si>
  <si>
    <t>Investment $</t>
  </si>
  <si>
    <t>Update Security</t>
  </si>
  <si>
    <t>Modify Relationship Management</t>
  </si>
  <si>
    <t>Add On-Boarding Workflow</t>
  </si>
  <si>
    <t>Interfaces for (Assuming no SEI/BIS)</t>
  </si>
  <si>
    <t>Trade Transactions</t>
  </si>
  <si>
    <t>Account Transactions (Disbursements, Receipts, etc.)</t>
  </si>
  <si>
    <t>Asset Prices (Import)</t>
  </si>
  <si>
    <t>Reporting Solution</t>
  </si>
  <si>
    <t>Discussion Items</t>
  </si>
  <si>
    <t>Company Setup</t>
  </si>
  <si>
    <t>Pricing</t>
  </si>
  <si>
    <t>Mobile app pricing/leverage</t>
  </si>
  <si>
    <t xml:space="preserve">   Do we have 2 - one free/basic, one branded/customize $$$</t>
  </si>
  <si>
    <t xml:space="preserve">   Second option would require multiple code bases</t>
  </si>
  <si>
    <t>Funding for remaining dev items</t>
  </si>
  <si>
    <t>Development Rate</t>
  </si>
  <si>
    <t>Total Development Investment</t>
  </si>
  <si>
    <t>Web Tenancy Issues</t>
  </si>
  <si>
    <t>Investment Model</t>
  </si>
  <si>
    <t>Investment</t>
  </si>
  <si>
    <t>Monthly Net Income</t>
  </si>
  <si>
    <t>Investment Balance</t>
  </si>
  <si>
    <t>Development - Expense</t>
  </si>
  <si>
    <t>Inetegration services work - income</t>
  </si>
  <si>
    <t>Number of resources</t>
  </si>
  <si>
    <t>Time to complete</t>
  </si>
  <si>
    <t>Expenses</t>
  </si>
  <si>
    <t>There will be development costs along the way</t>
  </si>
  <si>
    <t>There will be additional revenue from integration work</t>
  </si>
  <si>
    <t>Pipeline</t>
  </si>
  <si>
    <t>Marketing expenses/travel/trade shows</t>
  </si>
  <si>
    <t>Additional G&amp;A</t>
  </si>
  <si>
    <t>VERSION - Low-cost, trial, sign-up via web - no interaction</t>
  </si>
  <si>
    <t>Contacts in HubSpot - 480</t>
  </si>
  <si>
    <t>Long-Term</t>
  </si>
  <si>
    <t>Transactional system</t>
  </si>
  <si>
    <t>SEI/BIS Customers first - 8,900 clients, $576B under administration</t>
  </si>
  <si>
    <t>Lic. Fee</t>
  </si>
  <si>
    <t>Total 1-Time License Fee</t>
  </si>
  <si>
    <t>Total Monthly Revenue</t>
  </si>
  <si>
    <t>(Recurring)</t>
  </si>
  <si>
    <t>Sales Model - Sell now for installations 6+ months out</t>
  </si>
  <si>
    <t>Typically start looking 12+ from end of license</t>
  </si>
  <si>
    <t>1-Time</t>
  </si>
  <si>
    <t>Data Covnersion/Integration</t>
  </si>
  <si>
    <t>Marketing (Travel/Materials/Web Site)</t>
  </si>
  <si>
    <t>Initial Development Expense</t>
  </si>
  <si>
    <t>President/CEO (Contract - Wes)</t>
  </si>
  <si>
    <t>Support Staff (Contract)</t>
  </si>
  <si>
    <t>Initial</t>
  </si>
  <si>
    <t>MomentumTRUST</t>
  </si>
  <si>
    <t>Number of Clients</t>
  </si>
  <si>
    <t>Target Client Size</t>
  </si>
  <si>
    <t>STP Trading</t>
  </si>
  <si>
    <t>Portfolio Performance</t>
  </si>
  <si>
    <t>Proposal Generator</t>
  </si>
  <si>
    <t>Built-in CRM</t>
  </si>
  <si>
    <t>ASP Accessible by Internet</t>
  </si>
  <si>
    <t>Recommended for Family offices</t>
  </si>
  <si>
    <t>Custodians Supported</t>
  </si>
  <si>
    <t>Typical Timeframe for Migration/Installation</t>
  </si>
  <si>
    <t>Mobile App</t>
  </si>
  <si>
    <t>Workflow Management</t>
  </si>
  <si>
    <t>Serves all markets</t>
  </si>
  <si>
    <t>Flexible</t>
  </si>
  <si>
    <t>Yes</t>
  </si>
  <si>
    <t>No</t>
  </si>
  <si>
    <t>Custodian Agnostic</t>
  </si>
  <si>
    <t>Varies by size</t>
  </si>
  <si>
    <t>Document Management</t>
  </si>
  <si>
    <t>Software Update</t>
  </si>
  <si>
    <t>Notes</t>
  </si>
  <si>
    <t>We really haven't defined very many roles.  Need to define more roles and test.</t>
  </si>
  <si>
    <t>Updating how a household is defined.</t>
  </si>
  <si>
    <t>Requirement validation</t>
  </si>
  <si>
    <t>Security, Relationship Mgt, Workflow, etc..</t>
  </si>
  <si>
    <t>Depends on conversations during requirement validation</t>
  </si>
  <si>
    <t>Tax lots are a complication causing estimate to be high</t>
  </si>
  <si>
    <t>We have, just cleanup (i.e. history)</t>
  </si>
  <si>
    <t>Choose and implement reporting solution.  i.e. PowerBI</t>
  </si>
  <si>
    <t>Bringing software up to current versions</t>
  </si>
  <si>
    <t>This could be something that is added later.  If this comes up we can add it.</t>
  </si>
  <si>
    <t>SOC compliance</t>
  </si>
  <si>
    <t>If a client offers some type of product that SEI supports that we do not currently support we will need to map the product to a category.  Could be T&amp;M for those clients.</t>
  </si>
  <si>
    <t>Ability to switch between Trade Date Adjusted or not</t>
  </si>
  <si>
    <t>Thoughts:</t>
  </si>
  <si>
    <t>Task</t>
  </si>
  <si>
    <t>Description</t>
  </si>
  <si>
    <t>Review development effort estimate</t>
  </si>
  <si>
    <t>Define workflow</t>
  </si>
  <si>
    <t>Define relationship management</t>
  </si>
  <si>
    <t>Review workflow A</t>
  </si>
  <si>
    <t>Review workflow B</t>
  </si>
  <si>
    <t>Review with TCO</t>
  </si>
  <si>
    <t>Review with regulated trust company</t>
  </si>
  <si>
    <t>Finalize workflow build effort</t>
  </si>
  <si>
    <t>Design initial workflow process</t>
  </si>
  <si>
    <t>Create "sales person" job description</t>
  </si>
  <si>
    <t>Begin search for "sales person"</t>
  </si>
  <si>
    <t>Validate sales numbers</t>
  </si>
  <si>
    <t>Create sales pipeline</t>
  </si>
  <si>
    <t>Get funding</t>
  </si>
  <si>
    <t>Begin development</t>
  </si>
  <si>
    <t>Hire "sales person"</t>
  </si>
  <si>
    <t>Review realtionship management A</t>
  </si>
  <si>
    <t>Detail funding requirements</t>
  </si>
  <si>
    <t>Detail how funding will be used and timing</t>
  </si>
  <si>
    <t>Create sales messaging</t>
  </si>
  <si>
    <t>Define company/software message</t>
  </si>
  <si>
    <t>Begin marketing</t>
  </si>
  <si>
    <t>Web page, digital marketing, choose conferences</t>
  </si>
  <si>
    <t>Detail company organization</t>
  </si>
  <si>
    <t>ownership, management, etc…</t>
  </si>
  <si>
    <t>Operating agreement</t>
  </si>
  <si>
    <t>SEI customer list, Hub Spot list</t>
  </si>
  <si>
    <t>Professional Services</t>
  </si>
  <si>
    <t>Customer portal</t>
  </si>
  <si>
    <t>Create adaptive customer portal</t>
  </si>
  <si>
    <t>Average AUM</t>
  </si>
  <si>
    <t>Average # of Accounts</t>
  </si>
  <si>
    <t>Average $ Per Account</t>
  </si>
  <si>
    <t>Recurring</t>
  </si>
  <si>
    <t>Avg. Monthly $$</t>
  </si>
  <si>
    <t>Avg. Annual $$</t>
  </si>
  <si>
    <t>*1-Time</t>
  </si>
  <si>
    <t>Number of Clients to Reach Goal:</t>
  </si>
  <si>
    <t>* $1,000 minimum</t>
  </si>
  <si>
    <t>Number of Active Accounts ($1000 min.)</t>
  </si>
  <si>
    <t>Price Tiers (Subscription Fee)</t>
  </si>
  <si>
    <t>Includes 5 Users</t>
  </si>
  <si>
    <t>Monthly User Fee</t>
  </si>
  <si>
    <t>User Fee Pricing</t>
  </si>
  <si>
    <t>Number of Users</t>
  </si>
  <si>
    <t>Must have compliance reports built into the system.  Get with Mike/new SME to define what those are.</t>
  </si>
  <si>
    <t>Initial Setup</t>
  </si>
  <si>
    <t>Software License</t>
  </si>
  <si>
    <t>User Licenses</t>
  </si>
  <si>
    <t>Annualized</t>
  </si>
  <si>
    <t>Number of Accounts</t>
  </si>
  <si>
    <t>Total Monthly Recurring</t>
  </si>
  <si>
    <t>24 Months</t>
  </si>
  <si>
    <t>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</si>
</sst>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2" applyNumberFormat="1" applyFont="1"/>
    <xf numFmtId="165" fontId="0" fillId="0" borderId="0" xfId="2" applyNumberFormat="1" applyFont="1"/>
    <xf numFmtId="164" fontId="0" fillId="0" borderId="0" xfId="0" applyNumberFormat="1"/>
    <xf numFmtId="0" fontId="0" fillId="0" borderId="0" xfId="0" quotePrefix="1"/>
    <xf numFmtId="0" fontId="1" fillId="0" borderId="0" xfId="0" applyFont="1"/>
    <xf numFmtId="164" fontId="0" fillId="0" borderId="0" xfId="2" applyNumberFormat="1" applyFont="1" applyBorder="1"/>
    <xf numFmtId="164" fontId="0" fillId="0" borderId="0" xfId="0" applyNumberFormat="1" applyBorder="1"/>
    <xf numFmtId="0" fontId="0" fillId="0" borderId="0" xfId="0" applyBorder="1"/>
    <xf numFmtId="164" fontId="3" fillId="0" borderId="0" xfId="2" applyNumberFormat="1" applyFont="1" applyBorder="1"/>
    <xf numFmtId="164" fontId="3" fillId="0" borderId="1" xfId="2" applyNumberFormat="1" applyFont="1" applyBorder="1"/>
    <xf numFmtId="6" fontId="0" fillId="0" borderId="0" xfId="0" applyNumberFormat="1"/>
    <xf numFmtId="166" fontId="0" fillId="0" borderId="0" xfId="1" applyNumberFormat="1" applyFont="1"/>
    <xf numFmtId="0" fontId="0" fillId="0" borderId="0" xfId="0" applyFont="1"/>
    <xf numFmtId="44" fontId="0" fillId="0" borderId="0" xfId="2" applyFont="1"/>
    <xf numFmtId="0" fontId="0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4" fontId="2" fillId="0" borderId="0" xfId="2" applyNumberFormat="1" applyFont="1" applyBorder="1"/>
    <xf numFmtId="164" fontId="0" fillId="0" borderId="0" xfId="0" applyNumberFormat="1" applyFont="1" applyBorder="1"/>
    <xf numFmtId="164" fontId="1" fillId="0" borderId="2" xfId="0" applyNumberFormat="1" applyFont="1" applyBorder="1"/>
    <xf numFmtId="164" fontId="1" fillId="2" borderId="3" xfId="2" applyNumberFormat="1" applyFont="1" applyFill="1" applyBorder="1"/>
    <xf numFmtId="164" fontId="0" fillId="3" borderId="2" xfId="2" applyNumberFormat="1" applyFont="1" applyFill="1" applyBorder="1"/>
    <xf numFmtId="0" fontId="5" fillId="0" borderId="0" xfId="0" applyFont="1"/>
    <xf numFmtId="0" fontId="1" fillId="0" borderId="0" xfId="0" quotePrefix="1" applyFont="1" applyAlignment="1">
      <alignment horizontal="center"/>
    </xf>
    <xf numFmtId="164" fontId="0" fillId="0" borderId="0" xfId="2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wrapText="1"/>
    </xf>
    <xf numFmtId="0" fontId="8" fillId="5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/>
    </xf>
    <xf numFmtId="0" fontId="9" fillId="5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top"/>
    </xf>
    <xf numFmtId="0" fontId="10" fillId="4" borderId="0" xfId="0" applyFont="1" applyFill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 vertical="top" indent="2"/>
    </xf>
    <xf numFmtId="164" fontId="0" fillId="0" borderId="0" xfId="2" applyNumberFormat="1" applyFont="1" applyAlignment="1">
      <alignment vertical="top"/>
    </xf>
    <xf numFmtId="164" fontId="3" fillId="0" borderId="0" xfId="2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2" applyNumberFormat="1" applyFont="1" applyBorder="1" applyAlignment="1">
      <alignment vertical="top"/>
    </xf>
    <xf numFmtId="44" fontId="0" fillId="0" borderId="0" xfId="0" applyNumberFormat="1" applyAlignment="1">
      <alignment vertical="top"/>
    </xf>
    <xf numFmtId="9" fontId="0" fillId="0" borderId="0" xfId="0" applyNumberForma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43" fontId="0" fillId="0" borderId="0" xfId="0" applyNumberFormat="1"/>
    <xf numFmtId="0" fontId="0" fillId="0" borderId="0" xfId="0" applyAlignment="1">
      <alignment horizontal="left" indent="2"/>
    </xf>
    <xf numFmtId="0" fontId="0" fillId="0" borderId="0" xfId="0" quotePrefix="1" applyAlignment="1">
      <alignment horizontal="left" indent="2"/>
    </xf>
    <xf numFmtId="44" fontId="0" fillId="0" borderId="0" xfId="0" applyNumberFormat="1"/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44" fontId="1" fillId="6" borderId="0" xfId="0" applyNumberFormat="1" applyFont="1" applyFill="1"/>
    <xf numFmtId="165" fontId="1" fillId="0" borderId="0" xfId="0" applyNumberFormat="1" applyFont="1" applyFill="1" applyBorder="1"/>
    <xf numFmtId="39" fontId="0" fillId="0" borderId="0" xfId="0" applyNumberFormat="1"/>
    <xf numFmtId="0" fontId="4" fillId="0" borderId="0" xfId="0" applyFont="1"/>
    <xf numFmtId="164" fontId="1" fillId="0" borderId="0" xfId="2" applyNumberFormat="1" applyFont="1"/>
    <xf numFmtId="0" fontId="1" fillId="0" borderId="0" xfId="0" applyFont="1" applyAlignment="1">
      <alignment horizontal="left" indent="1"/>
    </xf>
    <xf numFmtId="1" fontId="1" fillId="0" borderId="0" xfId="2" applyNumberFormat="1" applyFont="1"/>
    <xf numFmtId="0" fontId="4" fillId="0" borderId="0" xfId="0" applyFont="1" applyAlignment="1">
      <alignment horizontal="left" indent="1"/>
    </xf>
    <xf numFmtId="9" fontId="0" fillId="0" borderId="0" xfId="3" applyFont="1"/>
    <xf numFmtId="164" fontId="0" fillId="0" borderId="0" xfId="0" applyNumberFormat="1" applyFont="1" applyFill="1" applyBorder="1"/>
    <xf numFmtId="0" fontId="13" fillId="7" borderId="0" xfId="0" applyFont="1" applyFill="1"/>
    <xf numFmtId="0" fontId="13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4" fontId="1" fillId="6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77"/>
  <sheetViews>
    <sheetView topLeftCell="B1" zoomScale="115" zoomScaleNormal="115" workbookViewId="0">
      <selection activeCell="U7" sqref="U7"/>
    </sheetView>
  </sheetViews>
  <sheetFormatPr defaultRowHeight="15" x14ac:dyDescent="0.25"/>
  <cols>
    <col min="1" max="1" width="36.7109375" customWidth="1"/>
    <col min="2" max="2" width="11.28515625" customWidth="1"/>
    <col min="3" max="3" width="13.5703125" bestFit="1" customWidth="1"/>
    <col min="4" max="4" width="11.5703125" bestFit="1" customWidth="1"/>
    <col min="5" max="19" width="12.7109375" customWidth="1"/>
    <col min="20" max="20" width="10.140625" bestFit="1" customWidth="1"/>
    <col min="21" max="21" width="12.28515625" bestFit="1" customWidth="1"/>
    <col min="22" max="22" width="12.140625" customWidth="1"/>
  </cols>
  <sheetData>
    <row r="2" spans="1:22" x14ac:dyDescent="0.25">
      <c r="U2" s="47">
        <v>0.2</v>
      </c>
      <c r="V2" s="66">
        <v>0.2</v>
      </c>
    </row>
    <row r="3" spans="1:22" x14ac:dyDescent="0.25">
      <c r="B3" s="5" t="s">
        <v>8</v>
      </c>
      <c r="C3" s="5"/>
      <c r="D3" s="5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5">
        <v>11</v>
      </c>
      <c r="P3" s="5">
        <v>12</v>
      </c>
      <c r="Q3" s="5">
        <v>13</v>
      </c>
      <c r="R3" s="5">
        <v>14</v>
      </c>
      <c r="S3" s="5">
        <v>15</v>
      </c>
      <c r="U3" t="s">
        <v>154</v>
      </c>
      <c r="V3" t="s">
        <v>155</v>
      </c>
    </row>
    <row r="4" spans="1:22" x14ac:dyDescent="0.25">
      <c r="A4" t="s">
        <v>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5000</v>
      </c>
      <c r="L4">
        <v>500</v>
      </c>
      <c r="M4">
        <v>1500</v>
      </c>
      <c r="N4">
        <v>500</v>
      </c>
      <c r="O4">
        <v>2000</v>
      </c>
      <c r="P4">
        <v>1000</v>
      </c>
      <c r="Q4">
        <v>1500</v>
      </c>
      <c r="R4">
        <v>750</v>
      </c>
      <c r="S4">
        <v>5000</v>
      </c>
    </row>
    <row r="5" spans="1:22" x14ac:dyDescent="0.25">
      <c r="A5" t="s">
        <v>146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30</v>
      </c>
      <c r="L5">
        <v>5</v>
      </c>
      <c r="M5">
        <v>25</v>
      </c>
      <c r="N5">
        <v>5</v>
      </c>
      <c r="O5">
        <v>35</v>
      </c>
      <c r="P5">
        <v>20</v>
      </c>
      <c r="Q5">
        <v>30</v>
      </c>
      <c r="R5">
        <v>10</v>
      </c>
      <c r="S5">
        <v>75</v>
      </c>
    </row>
    <row r="7" spans="1:22" x14ac:dyDescent="0.25">
      <c r="A7" t="s">
        <v>141</v>
      </c>
      <c r="E7" s="12">
        <f>D7+E4</f>
        <v>0</v>
      </c>
      <c r="F7" s="12">
        <f t="shared" ref="F7:I7" si="0">E7+F4</f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ref="J7:S7" si="1">I7+J4</f>
        <v>0</v>
      </c>
      <c r="K7" s="12">
        <f t="shared" si="1"/>
        <v>5000</v>
      </c>
      <c r="L7" s="12">
        <f t="shared" si="1"/>
        <v>5500</v>
      </c>
      <c r="M7" s="12">
        <f t="shared" si="1"/>
        <v>7000</v>
      </c>
      <c r="N7" s="12">
        <f t="shared" si="1"/>
        <v>7500</v>
      </c>
      <c r="O7" s="12">
        <f t="shared" si="1"/>
        <v>9500</v>
      </c>
      <c r="P7" s="12">
        <f t="shared" si="1"/>
        <v>10500</v>
      </c>
      <c r="Q7" s="12">
        <f t="shared" si="1"/>
        <v>12000</v>
      </c>
      <c r="R7" s="12">
        <f t="shared" si="1"/>
        <v>12750</v>
      </c>
      <c r="S7" s="12">
        <f t="shared" si="1"/>
        <v>17750</v>
      </c>
      <c r="T7" s="51"/>
    </row>
    <row r="8" spans="1:22" x14ac:dyDescent="0.25">
      <c r="A8" t="s">
        <v>5</v>
      </c>
      <c r="E8" s="1">
        <f>IF(E4=0,0,IF(SUMPRODUCT($C$32:$C$38,E32:E38)&lt;1000,1000,SUMPRODUCT($C$32:$C$38,E32:E38)))</f>
        <v>0</v>
      </c>
      <c r="F8" s="1">
        <f t="shared" ref="F8:S8" si="2">IF(F4=0,0,IF(SUMPRODUCT($C$32:$C$38,F32:F38)&lt;1000,1000,SUMPRODUCT($C$32:$C$38,F32:F38)))</f>
        <v>0</v>
      </c>
      <c r="G8" s="1">
        <f t="shared" si="2"/>
        <v>0</v>
      </c>
      <c r="H8" s="1">
        <f>IF(H4=0,0,IF(SUMPRODUCT($C$32:$C$38,H32:H38)&lt;1000,1000,SUMPRODUCT($C$32:$C$38,H32:H38)))</f>
        <v>0</v>
      </c>
      <c r="I8" s="1">
        <f t="shared" si="2"/>
        <v>0</v>
      </c>
      <c r="J8" s="1">
        <f t="shared" si="2"/>
        <v>0</v>
      </c>
      <c r="K8" s="1">
        <f t="shared" si="2"/>
        <v>8050</v>
      </c>
      <c r="L8" s="1">
        <f t="shared" si="2"/>
        <v>1000</v>
      </c>
      <c r="M8" s="1">
        <f t="shared" si="2"/>
        <v>2525</v>
      </c>
      <c r="N8" s="1">
        <f t="shared" si="2"/>
        <v>1000</v>
      </c>
      <c r="O8" s="1">
        <f t="shared" si="2"/>
        <v>3350</v>
      </c>
      <c r="P8" s="1">
        <f t="shared" si="2"/>
        <v>1700</v>
      </c>
      <c r="Q8" s="1">
        <f t="shared" si="2"/>
        <v>2525</v>
      </c>
      <c r="R8" s="1">
        <f t="shared" si="2"/>
        <v>1275</v>
      </c>
      <c r="S8" s="1">
        <f t="shared" si="2"/>
        <v>8050</v>
      </c>
    </row>
    <row r="9" spans="1:22" x14ac:dyDescent="0.25">
      <c r="A9" t="s">
        <v>144</v>
      </c>
      <c r="E9" s="1">
        <f t="shared" ref="E9:G9" si="3">SUM(E41:E44)</f>
        <v>0</v>
      </c>
      <c r="F9" s="1">
        <f t="shared" si="3"/>
        <v>0</v>
      </c>
      <c r="G9" s="1">
        <f t="shared" si="3"/>
        <v>0</v>
      </c>
      <c r="H9" s="1">
        <f>SUM(H41:H44)</f>
        <v>0</v>
      </c>
      <c r="I9" s="1">
        <f t="shared" ref="I9:S9" si="4">SUM(I41:I44)</f>
        <v>0</v>
      </c>
      <c r="J9" s="1">
        <f t="shared" si="4"/>
        <v>0</v>
      </c>
      <c r="K9" s="1">
        <f t="shared" si="4"/>
        <v>3275</v>
      </c>
      <c r="L9" s="1">
        <f t="shared" si="4"/>
        <v>675</v>
      </c>
      <c r="M9" s="1">
        <f t="shared" si="4"/>
        <v>2875</v>
      </c>
      <c r="N9" s="1">
        <f t="shared" si="4"/>
        <v>675</v>
      </c>
      <c r="O9" s="1">
        <f t="shared" si="4"/>
        <v>3675</v>
      </c>
      <c r="P9" s="1">
        <f t="shared" si="4"/>
        <v>2325</v>
      </c>
      <c r="Q9" s="1">
        <f t="shared" si="4"/>
        <v>3275</v>
      </c>
      <c r="R9" s="1">
        <f t="shared" si="4"/>
        <v>1225</v>
      </c>
      <c r="S9" s="1">
        <f t="shared" si="4"/>
        <v>6375</v>
      </c>
    </row>
    <row r="10" spans="1:22" ht="15.75" thickBot="1" x14ac:dyDescent="0.3">
      <c r="A10" s="5" t="s">
        <v>6</v>
      </c>
      <c r="B10" s="22" t="s">
        <v>54</v>
      </c>
      <c r="E10" s="19">
        <f t="shared" ref="E10:G10" si="5">D10+E8+E9</f>
        <v>0</v>
      </c>
      <c r="F10" s="19">
        <f t="shared" si="5"/>
        <v>0</v>
      </c>
      <c r="G10" s="19">
        <f t="shared" si="5"/>
        <v>0</v>
      </c>
      <c r="H10" s="19">
        <f>G10+H8+H9</f>
        <v>0</v>
      </c>
      <c r="I10" s="19">
        <f t="shared" ref="I10:S10" si="6">H10+I8+I9</f>
        <v>0</v>
      </c>
      <c r="J10" s="19">
        <f t="shared" si="6"/>
        <v>0</v>
      </c>
      <c r="K10" s="19">
        <f t="shared" si="6"/>
        <v>11325</v>
      </c>
      <c r="L10" s="19">
        <f t="shared" si="6"/>
        <v>13000</v>
      </c>
      <c r="M10" s="19">
        <f t="shared" si="6"/>
        <v>18400</v>
      </c>
      <c r="N10" s="19">
        <f t="shared" si="6"/>
        <v>20075</v>
      </c>
      <c r="O10" s="19">
        <f t="shared" si="6"/>
        <v>27100</v>
      </c>
      <c r="P10" s="19">
        <f t="shared" si="6"/>
        <v>31125</v>
      </c>
      <c r="Q10" s="19">
        <f t="shared" si="6"/>
        <v>36925</v>
      </c>
      <c r="R10" s="19">
        <f t="shared" si="6"/>
        <v>39425</v>
      </c>
      <c r="S10" s="19">
        <f t="shared" si="6"/>
        <v>53850</v>
      </c>
      <c r="T10" s="59"/>
      <c r="U10" s="67">
        <f>S10*(1+U2)</f>
        <v>64620</v>
      </c>
      <c r="V10" s="1">
        <f>U10*(1+V2)</f>
        <v>77544</v>
      </c>
    </row>
    <row r="11" spans="1:22" ht="15.75" thickTop="1" x14ac:dyDescent="0.25">
      <c r="A11" s="13" t="s">
        <v>52</v>
      </c>
      <c r="B11" s="5"/>
      <c r="E11" s="17">
        <f t="shared" ref="E11:S11" si="7">IF(AND(E4&gt;$A$32,E4&lt;=$B$32),$D$32,IF(AND(E4&gt;=$A$33,E4&lt;=$B$33),$D$33,IF(AND(E4&gt;=$A$34,E4&lt;=$B$34),$D$34,IF(AND(E4&gt;=$A$35,E4&lt;=$B$35),$D$35,IF(AND(E4&gt;=$A$36,E4&lt;=$B$36),$D$36,IF(AND(E4&gt;=$A$37,E4&lt;=$B$37),$D$37,IF(AND(E4&gt;=$A$38),$D$38,0)))))))</f>
        <v>0</v>
      </c>
      <c r="F11" s="17">
        <f t="shared" si="7"/>
        <v>0</v>
      </c>
      <c r="G11" s="17">
        <f t="shared" si="7"/>
        <v>0</v>
      </c>
      <c r="H11" s="17">
        <f>IF(AND(H4&gt;$A$32,H4&lt;=$B$32),$D$32,IF(AND(H4&gt;=$A$33,H4&lt;=$B$33),$D$33,IF(AND(H4&gt;=$A$34,H4&lt;=$B$34),$D$34,IF(AND(H4&gt;=$A$35,H4&lt;=$B$35),$D$35,IF(AND(H4&gt;=$A$36,H4&lt;=$B$36),$D$36,IF(AND(H4&gt;=$A$37,H4&lt;=$B$37),$D$37,IF(AND(H4&gt;=$A$38),$D$38,0)))))))</f>
        <v>0</v>
      </c>
      <c r="I11" s="17">
        <f t="shared" si="7"/>
        <v>0</v>
      </c>
      <c r="J11" s="17">
        <f t="shared" si="7"/>
        <v>0</v>
      </c>
      <c r="K11" s="17">
        <f t="shared" si="7"/>
        <v>10000</v>
      </c>
      <c r="L11" s="17">
        <f t="shared" si="7"/>
        <v>5000</v>
      </c>
      <c r="M11" s="17">
        <f t="shared" si="7"/>
        <v>7500</v>
      </c>
      <c r="N11" s="17">
        <f t="shared" si="7"/>
        <v>5000</v>
      </c>
      <c r="O11" s="17">
        <f t="shared" si="7"/>
        <v>7500</v>
      </c>
      <c r="P11" s="17">
        <f t="shared" si="7"/>
        <v>5000</v>
      </c>
      <c r="Q11" s="17">
        <f t="shared" si="7"/>
        <v>7500</v>
      </c>
      <c r="R11" s="17">
        <f t="shared" si="7"/>
        <v>5000</v>
      </c>
      <c r="S11" s="17">
        <f t="shared" si="7"/>
        <v>10000</v>
      </c>
      <c r="U11" s="3">
        <f>U10*12</f>
        <v>775440</v>
      </c>
      <c r="V11" s="3">
        <f>V10*12</f>
        <v>930528</v>
      </c>
    </row>
    <row r="12" spans="1:22" x14ac:dyDescent="0.25">
      <c r="A12" s="13" t="s">
        <v>58</v>
      </c>
      <c r="B12" s="5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2" x14ac:dyDescent="0.25">
      <c r="A13" s="13" t="s">
        <v>129</v>
      </c>
      <c r="B13" s="5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22" x14ac:dyDescent="0.25">
      <c r="A14" s="5" t="s">
        <v>53</v>
      </c>
      <c r="B14" s="5"/>
      <c r="E14" s="20">
        <f>E10+E11+E12</f>
        <v>0</v>
      </c>
      <c r="F14" s="20">
        <f t="shared" ref="F14:S14" si="8">F10+F11+F12</f>
        <v>0</v>
      </c>
      <c r="G14" s="20">
        <f t="shared" si="8"/>
        <v>0</v>
      </c>
      <c r="H14" s="20">
        <f t="shared" si="8"/>
        <v>0</v>
      </c>
      <c r="I14" s="20">
        <f t="shared" si="8"/>
        <v>0</v>
      </c>
      <c r="J14" s="20">
        <f t="shared" si="8"/>
        <v>0</v>
      </c>
      <c r="K14" s="20">
        <f t="shared" si="8"/>
        <v>21325</v>
      </c>
      <c r="L14" s="20">
        <f t="shared" si="8"/>
        <v>18000</v>
      </c>
      <c r="M14" s="20">
        <f t="shared" si="8"/>
        <v>25900</v>
      </c>
      <c r="N14" s="20">
        <f t="shared" si="8"/>
        <v>25075</v>
      </c>
      <c r="O14" s="20">
        <f>O10+O11+O12</f>
        <v>34600</v>
      </c>
      <c r="P14" s="20">
        <f t="shared" si="8"/>
        <v>36125</v>
      </c>
      <c r="Q14" s="20">
        <f t="shared" si="8"/>
        <v>44425</v>
      </c>
      <c r="R14" s="20">
        <f t="shared" si="8"/>
        <v>44425</v>
      </c>
      <c r="S14" s="20">
        <f t="shared" si="8"/>
        <v>63850</v>
      </c>
      <c r="U14" s="24"/>
    </row>
    <row r="15" spans="1:22" x14ac:dyDescent="0.25">
      <c r="E15" s="6"/>
      <c r="F15" s="7"/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2" x14ac:dyDescent="0.25">
      <c r="A16" t="s">
        <v>9</v>
      </c>
      <c r="B16">
        <v>0.05</v>
      </c>
      <c r="E16" s="9">
        <f t="shared" ref="E16:S16" si="9">E7*$B$16</f>
        <v>0</v>
      </c>
      <c r="F16" s="9">
        <f t="shared" si="9"/>
        <v>0</v>
      </c>
      <c r="G16" s="9">
        <f t="shared" si="9"/>
        <v>0</v>
      </c>
      <c r="H16" s="9">
        <f t="shared" si="9"/>
        <v>0</v>
      </c>
      <c r="I16" s="9">
        <f t="shared" si="9"/>
        <v>0</v>
      </c>
      <c r="J16" s="9">
        <f t="shared" si="9"/>
        <v>0</v>
      </c>
      <c r="K16" s="9">
        <f t="shared" si="9"/>
        <v>250</v>
      </c>
      <c r="L16" s="9">
        <f t="shared" si="9"/>
        <v>275</v>
      </c>
      <c r="M16" s="9">
        <f t="shared" si="9"/>
        <v>350</v>
      </c>
      <c r="N16" s="9">
        <f t="shared" si="9"/>
        <v>375</v>
      </c>
      <c r="O16" s="9">
        <f t="shared" si="9"/>
        <v>475</v>
      </c>
      <c r="P16" s="9">
        <f t="shared" si="9"/>
        <v>525</v>
      </c>
      <c r="Q16" s="9">
        <f t="shared" si="9"/>
        <v>600</v>
      </c>
      <c r="R16" s="9">
        <f t="shared" si="9"/>
        <v>637.5</v>
      </c>
      <c r="S16" s="9">
        <f t="shared" si="9"/>
        <v>887.5</v>
      </c>
    </row>
    <row r="17" spans="1:21" x14ac:dyDescent="0.25">
      <c r="A17" t="s">
        <v>2</v>
      </c>
      <c r="B17" s="11">
        <v>130000</v>
      </c>
      <c r="E17" s="9">
        <f>$B$17*1.3/12</f>
        <v>14083.333333333334</v>
      </c>
      <c r="F17" s="9">
        <f t="shared" ref="F17:S17" si="10">$B$17*1.3/12</f>
        <v>14083.333333333334</v>
      </c>
      <c r="G17" s="9">
        <f t="shared" si="10"/>
        <v>14083.333333333334</v>
      </c>
      <c r="H17" s="9">
        <f t="shared" si="10"/>
        <v>14083.333333333334</v>
      </c>
      <c r="I17" s="9">
        <f t="shared" si="10"/>
        <v>14083.333333333334</v>
      </c>
      <c r="J17" s="9">
        <f t="shared" si="10"/>
        <v>14083.333333333334</v>
      </c>
      <c r="K17" s="9">
        <f t="shared" si="10"/>
        <v>14083.333333333334</v>
      </c>
      <c r="L17" s="9">
        <f t="shared" si="10"/>
        <v>14083.333333333334</v>
      </c>
      <c r="M17" s="9">
        <f t="shared" si="10"/>
        <v>14083.333333333334</v>
      </c>
      <c r="N17" s="9">
        <f t="shared" si="10"/>
        <v>14083.333333333334</v>
      </c>
      <c r="O17" s="9">
        <f t="shared" si="10"/>
        <v>14083.333333333334</v>
      </c>
      <c r="P17" s="9">
        <f t="shared" si="10"/>
        <v>14083.333333333334</v>
      </c>
      <c r="Q17" s="9">
        <f t="shared" si="10"/>
        <v>14083.333333333334</v>
      </c>
      <c r="R17" s="9">
        <f t="shared" si="10"/>
        <v>14083.333333333334</v>
      </c>
      <c r="S17" s="9">
        <f t="shared" si="10"/>
        <v>14083.333333333334</v>
      </c>
    </row>
    <row r="18" spans="1:21" x14ac:dyDescent="0.25">
      <c r="A18" t="s">
        <v>61</v>
      </c>
      <c r="B18" s="11">
        <v>50000</v>
      </c>
      <c r="E18" s="9">
        <f>$B$18/12</f>
        <v>4166.666666666667</v>
      </c>
      <c r="F18" s="9">
        <f t="shared" ref="F18:S18" si="11">$B$18/12</f>
        <v>4166.666666666667</v>
      </c>
      <c r="G18" s="9">
        <f t="shared" si="11"/>
        <v>4166.666666666667</v>
      </c>
      <c r="H18" s="9">
        <f t="shared" si="11"/>
        <v>4166.666666666667</v>
      </c>
      <c r="I18" s="9">
        <f t="shared" si="11"/>
        <v>4166.666666666667</v>
      </c>
      <c r="J18" s="9">
        <f t="shared" si="11"/>
        <v>4166.666666666667</v>
      </c>
      <c r="K18" s="9">
        <f t="shared" si="11"/>
        <v>4166.666666666667</v>
      </c>
      <c r="L18" s="9">
        <f t="shared" si="11"/>
        <v>4166.666666666667</v>
      </c>
      <c r="M18" s="9">
        <f t="shared" si="11"/>
        <v>4166.666666666667</v>
      </c>
      <c r="N18" s="9">
        <f t="shared" si="11"/>
        <v>4166.666666666667</v>
      </c>
      <c r="O18" s="9">
        <f t="shared" si="11"/>
        <v>4166.666666666667</v>
      </c>
      <c r="P18" s="9">
        <f t="shared" si="11"/>
        <v>4166.666666666667</v>
      </c>
      <c r="Q18" s="9">
        <f t="shared" si="11"/>
        <v>4166.666666666667</v>
      </c>
      <c r="R18" s="9">
        <f t="shared" si="11"/>
        <v>4166.666666666667</v>
      </c>
      <c r="S18" s="9">
        <f t="shared" si="11"/>
        <v>4166.666666666667</v>
      </c>
    </row>
    <row r="19" spans="1:21" x14ac:dyDescent="0.25">
      <c r="A19" t="s">
        <v>10</v>
      </c>
      <c r="B19" s="11"/>
      <c r="E19" s="9">
        <v>6000</v>
      </c>
      <c r="F19" s="9">
        <v>3000</v>
      </c>
      <c r="G19" s="9">
        <v>3000</v>
      </c>
      <c r="H19" s="9">
        <v>3000</v>
      </c>
      <c r="I19" s="9">
        <v>3000</v>
      </c>
      <c r="J19" s="9">
        <v>3000</v>
      </c>
      <c r="K19" s="9">
        <v>4000</v>
      </c>
      <c r="L19" s="9">
        <v>4000</v>
      </c>
      <c r="M19" s="9">
        <v>4000</v>
      </c>
      <c r="N19" s="9">
        <v>4000</v>
      </c>
      <c r="O19" s="9">
        <v>4000</v>
      </c>
      <c r="P19" s="9">
        <v>4000</v>
      </c>
      <c r="Q19" s="9">
        <v>4000</v>
      </c>
      <c r="R19" s="9">
        <v>7000</v>
      </c>
      <c r="S19" s="9">
        <v>4000</v>
      </c>
    </row>
    <row r="20" spans="1:21" x14ac:dyDescent="0.25">
      <c r="A20" t="s">
        <v>59</v>
      </c>
      <c r="B20" s="11"/>
      <c r="E20" s="9">
        <v>3500</v>
      </c>
      <c r="F20" s="9">
        <v>7000</v>
      </c>
      <c r="G20" s="9">
        <v>4000</v>
      </c>
      <c r="H20" s="9">
        <v>8000</v>
      </c>
      <c r="I20" s="9">
        <v>3500</v>
      </c>
      <c r="J20" s="9">
        <v>3500</v>
      </c>
      <c r="K20" s="9">
        <v>3500</v>
      </c>
      <c r="L20" s="9">
        <v>4000</v>
      </c>
      <c r="M20" s="9">
        <v>4000</v>
      </c>
      <c r="N20" s="9">
        <v>8000</v>
      </c>
      <c r="O20" s="9">
        <v>4000</v>
      </c>
      <c r="P20" s="9">
        <v>4000</v>
      </c>
      <c r="Q20" s="9">
        <v>8000</v>
      </c>
      <c r="R20" s="9">
        <v>4500</v>
      </c>
      <c r="S20" s="9">
        <v>4500</v>
      </c>
    </row>
    <row r="21" spans="1:21" x14ac:dyDescent="0.25">
      <c r="A21" t="s">
        <v>62</v>
      </c>
      <c r="B21" s="1">
        <v>50000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500</v>
      </c>
      <c r="L21" s="9">
        <v>500</v>
      </c>
      <c r="M21" s="9">
        <v>1000</v>
      </c>
      <c r="N21" s="9">
        <v>1000</v>
      </c>
      <c r="O21" s="9">
        <v>1500</v>
      </c>
      <c r="P21" s="9">
        <v>1500</v>
      </c>
      <c r="Q21" s="9">
        <v>2000</v>
      </c>
      <c r="R21" s="9">
        <v>2000</v>
      </c>
      <c r="S21" s="9">
        <v>2000</v>
      </c>
    </row>
    <row r="22" spans="1:21" ht="15.75" thickBot="1" x14ac:dyDescent="0.3">
      <c r="A22" t="s">
        <v>7</v>
      </c>
      <c r="E22" s="10">
        <f t="shared" ref="E22:S22" si="12">SUM(E16:E21)</f>
        <v>27750</v>
      </c>
      <c r="F22" s="10">
        <f t="shared" si="12"/>
        <v>28250</v>
      </c>
      <c r="G22" s="10">
        <f t="shared" si="12"/>
        <v>25250</v>
      </c>
      <c r="H22" s="10">
        <f t="shared" si="12"/>
        <v>29250</v>
      </c>
      <c r="I22" s="10">
        <f t="shared" si="12"/>
        <v>24750</v>
      </c>
      <c r="J22" s="10">
        <f t="shared" si="12"/>
        <v>24750</v>
      </c>
      <c r="K22" s="10">
        <f t="shared" si="12"/>
        <v>26500</v>
      </c>
      <c r="L22" s="10">
        <f t="shared" si="12"/>
        <v>27025</v>
      </c>
      <c r="M22" s="10">
        <f t="shared" si="12"/>
        <v>27600</v>
      </c>
      <c r="N22" s="10">
        <f t="shared" si="12"/>
        <v>31625</v>
      </c>
      <c r="O22" s="10">
        <f t="shared" si="12"/>
        <v>28225</v>
      </c>
      <c r="P22" s="10">
        <f t="shared" si="12"/>
        <v>28275</v>
      </c>
      <c r="Q22" s="10">
        <f t="shared" si="12"/>
        <v>32850</v>
      </c>
      <c r="R22" s="10">
        <f t="shared" si="12"/>
        <v>32387.5</v>
      </c>
      <c r="S22" s="10">
        <f t="shared" si="12"/>
        <v>29637.5</v>
      </c>
      <c r="U22" s="47"/>
    </row>
    <row r="23" spans="1:21" x14ac:dyDescent="0.25">
      <c r="E23" s="6"/>
      <c r="F23" s="7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1" ht="15.75" thickBot="1" x14ac:dyDescent="0.3">
      <c r="A24" t="s">
        <v>0</v>
      </c>
      <c r="E24" s="21">
        <f t="shared" ref="E24:S24" si="13">E14-E22</f>
        <v>-27750</v>
      </c>
      <c r="F24" s="21">
        <f t="shared" si="13"/>
        <v>-28250</v>
      </c>
      <c r="G24" s="21">
        <f t="shared" si="13"/>
        <v>-25250</v>
      </c>
      <c r="H24" s="21">
        <f t="shared" si="13"/>
        <v>-29250</v>
      </c>
      <c r="I24" s="21">
        <f t="shared" si="13"/>
        <v>-24750</v>
      </c>
      <c r="J24" s="21">
        <f t="shared" si="13"/>
        <v>-24750</v>
      </c>
      <c r="K24" s="21">
        <f t="shared" si="13"/>
        <v>-5175</v>
      </c>
      <c r="L24" s="21">
        <f t="shared" si="13"/>
        <v>-9025</v>
      </c>
      <c r="M24" s="21">
        <f t="shared" si="13"/>
        <v>-1700</v>
      </c>
      <c r="N24" s="21">
        <f t="shared" si="13"/>
        <v>-6550</v>
      </c>
      <c r="O24" s="21">
        <f t="shared" si="13"/>
        <v>6375</v>
      </c>
      <c r="P24" s="21">
        <f t="shared" si="13"/>
        <v>7850</v>
      </c>
      <c r="Q24" s="21">
        <f t="shared" si="13"/>
        <v>11575</v>
      </c>
      <c r="R24" s="21">
        <f t="shared" si="13"/>
        <v>12037.5</v>
      </c>
      <c r="S24" s="21">
        <f t="shared" si="13"/>
        <v>34212.5</v>
      </c>
      <c r="U24" s="24"/>
    </row>
    <row r="25" spans="1:21" ht="15.75" thickTop="1" x14ac:dyDescent="0.25"/>
    <row r="27" spans="1:21" x14ac:dyDescent="0.25">
      <c r="A27" t="s">
        <v>1</v>
      </c>
      <c r="E27" s="3">
        <f t="shared" ref="E27:G27" si="14">(E8+E9)*36</f>
        <v>0</v>
      </c>
      <c r="F27" s="3">
        <f t="shared" si="14"/>
        <v>0</v>
      </c>
      <c r="G27" s="3">
        <f t="shared" si="14"/>
        <v>0</v>
      </c>
      <c r="H27" s="3">
        <f>(H8+H9)*36</f>
        <v>0</v>
      </c>
      <c r="I27" s="3">
        <f t="shared" ref="I27:S27" si="15">(I8+I9)*36</f>
        <v>0</v>
      </c>
      <c r="J27" s="3">
        <f t="shared" si="15"/>
        <v>0</v>
      </c>
      <c r="K27" s="3">
        <f>(K8+K9)*36</f>
        <v>407700</v>
      </c>
      <c r="L27" s="3">
        <f t="shared" si="15"/>
        <v>60300</v>
      </c>
      <c r="M27" s="3">
        <f t="shared" si="15"/>
        <v>194400</v>
      </c>
      <c r="N27" s="3">
        <f t="shared" si="15"/>
        <v>60300</v>
      </c>
      <c r="O27" s="3">
        <f t="shared" si="15"/>
        <v>252900</v>
      </c>
      <c r="P27" s="3">
        <f t="shared" si="15"/>
        <v>144900</v>
      </c>
      <c r="Q27" s="3">
        <f t="shared" si="15"/>
        <v>208800</v>
      </c>
      <c r="R27" s="3">
        <f t="shared" si="15"/>
        <v>90000</v>
      </c>
      <c r="S27" s="3">
        <f t="shared" si="15"/>
        <v>519300</v>
      </c>
    </row>
    <row r="30" spans="1:21" x14ac:dyDescent="0.25">
      <c r="A30" s="61" t="s">
        <v>143</v>
      </c>
      <c r="D30" s="23" t="s">
        <v>57</v>
      </c>
    </row>
    <row r="31" spans="1:21" x14ac:dyDescent="0.25">
      <c r="A31" s="5" t="s">
        <v>142</v>
      </c>
      <c r="C31" s="16" t="s">
        <v>4</v>
      </c>
      <c r="D31" s="16" t="s">
        <v>51</v>
      </c>
    </row>
    <row r="32" spans="1:21" x14ac:dyDescent="0.25">
      <c r="A32" s="13">
        <v>0</v>
      </c>
      <c r="B32">
        <v>1000</v>
      </c>
      <c r="C32" s="14">
        <v>1.7</v>
      </c>
      <c r="D32" s="1">
        <v>5000</v>
      </c>
      <c r="E32">
        <f t="shared" ref="E32:S32" si="16">IF(E$4&gt;$B$32,$B$32,E$4)</f>
        <v>0</v>
      </c>
      <c r="F32">
        <f t="shared" si="16"/>
        <v>0</v>
      </c>
      <c r="G32">
        <f t="shared" si="16"/>
        <v>0</v>
      </c>
      <c r="H32">
        <f t="shared" si="16"/>
        <v>0</v>
      </c>
      <c r="I32">
        <f t="shared" si="16"/>
        <v>0</v>
      </c>
      <c r="J32">
        <f t="shared" si="16"/>
        <v>0</v>
      </c>
      <c r="K32">
        <f t="shared" si="16"/>
        <v>1000</v>
      </c>
      <c r="L32">
        <f t="shared" si="16"/>
        <v>500</v>
      </c>
      <c r="M32">
        <f t="shared" si="16"/>
        <v>1000</v>
      </c>
      <c r="N32">
        <f t="shared" si="16"/>
        <v>500</v>
      </c>
      <c r="O32">
        <f t="shared" si="16"/>
        <v>1000</v>
      </c>
      <c r="P32">
        <f t="shared" si="16"/>
        <v>1000</v>
      </c>
      <c r="Q32">
        <f t="shared" si="16"/>
        <v>1000</v>
      </c>
      <c r="R32">
        <f t="shared" si="16"/>
        <v>750</v>
      </c>
      <c r="S32">
        <f t="shared" si="16"/>
        <v>1000</v>
      </c>
    </row>
    <row r="33" spans="1:19" x14ac:dyDescent="0.25">
      <c r="A33" s="13">
        <v>1001</v>
      </c>
      <c r="B33">
        <v>2500</v>
      </c>
      <c r="C33" s="14">
        <v>1.65</v>
      </c>
      <c r="D33" s="1">
        <v>7500</v>
      </c>
      <c r="E33">
        <f>IF(E$4&gt;$B32,IF(E$4&lt;=$B33,E$4-$B32,$B33-$B32),0)</f>
        <v>0</v>
      </c>
      <c r="F33">
        <f t="shared" ref="F33:G37" si="17">IF(F$4&gt;$B32,IF(F$4&lt;=$B33,F$4-$B32,$B33-$B32),0)</f>
        <v>0</v>
      </c>
      <c r="G33">
        <f t="shared" si="17"/>
        <v>0</v>
      </c>
      <c r="H33">
        <f>IF(H$4&gt;$B32,IF(H$4&lt;=$B33,H$4-$B32,$B33-$B32),0)</f>
        <v>0</v>
      </c>
      <c r="I33">
        <f t="shared" ref="I33:I37" si="18">IF(I$4&gt;$B32,IF(I$4&lt;=$B33,I$4-$B32,$B33-$B32),0)</f>
        <v>0</v>
      </c>
      <c r="J33">
        <f t="shared" ref="J33:J37" si="19">IF(J$4&gt;$B32,IF(J$4&lt;=$B33,J$4-$B32,$B33-$B32),0)</f>
        <v>0</v>
      </c>
      <c r="K33">
        <f t="shared" ref="K33:K37" si="20">IF(K$4&gt;$B32,IF(K$4&lt;=$B33,K$4-$B32,$B33-$B32),0)</f>
        <v>1500</v>
      </c>
      <c r="L33">
        <f t="shared" ref="L33:L37" si="21">IF(L$4&gt;$B32,IF(L$4&lt;=$B33,L$4-$B32,$B33-$B32),0)</f>
        <v>0</v>
      </c>
      <c r="M33">
        <f t="shared" ref="M33:M37" si="22">IF(M$4&gt;$B32,IF(M$4&lt;=$B33,M$4-$B32,$B33-$B32),0)</f>
        <v>500</v>
      </c>
      <c r="N33">
        <f t="shared" ref="N33:N37" si="23">IF(N$4&gt;$B32,IF(N$4&lt;=$B33,N$4-$B32,$B33-$B32),0)</f>
        <v>0</v>
      </c>
      <c r="O33">
        <f t="shared" ref="O33:O37" si="24">IF(O$4&gt;$B32,IF(O$4&lt;=$B33,O$4-$B32,$B33-$B32),0)</f>
        <v>1000</v>
      </c>
      <c r="P33">
        <f t="shared" ref="P33:P37" si="25">IF(P$4&gt;$B32,IF(P$4&lt;=$B33,P$4-$B32,$B33-$B32),0)</f>
        <v>0</v>
      </c>
      <c r="Q33">
        <f t="shared" ref="Q33:Q37" si="26">IF(Q$4&gt;$B32,IF(Q$4&lt;=$B33,Q$4-$B32,$B33-$B32),0)</f>
        <v>500</v>
      </c>
      <c r="R33">
        <f t="shared" ref="R33:R37" si="27">IF(R$4&gt;$B32,IF(R$4&lt;=$B33,R$4-$B32,$B33-$B32),0)</f>
        <v>0</v>
      </c>
      <c r="S33">
        <f t="shared" ref="S33:S37" si="28">IF(S$4&gt;$B32,IF(S$4&lt;=$B33,S$4-$B32,$B33-$B32),0)</f>
        <v>1500</v>
      </c>
    </row>
    <row r="34" spans="1:19" x14ac:dyDescent="0.25">
      <c r="A34" s="4">
        <v>2500</v>
      </c>
      <c r="B34" s="4">
        <v>5000</v>
      </c>
      <c r="C34" s="2">
        <v>1.55</v>
      </c>
      <c r="D34" s="1">
        <v>10000</v>
      </c>
      <c r="E34">
        <f t="shared" ref="E34:E37" si="29">IF(E$4&gt;$B33,IF(E$4&lt;=$B34,E$4-$B33,$B34-$B33),0)</f>
        <v>0</v>
      </c>
      <c r="F34">
        <f t="shared" si="17"/>
        <v>0</v>
      </c>
      <c r="G34">
        <f t="shared" si="17"/>
        <v>0</v>
      </c>
      <c r="H34">
        <f t="shared" ref="H34:H37" si="30">IF(H$4&gt;$B33,IF(H$4&lt;=$B34,H$4-$B33,$B34-$B33),0)</f>
        <v>0</v>
      </c>
      <c r="I34">
        <f t="shared" si="18"/>
        <v>0</v>
      </c>
      <c r="J34">
        <f t="shared" si="19"/>
        <v>0</v>
      </c>
      <c r="K34">
        <f t="shared" si="20"/>
        <v>2500</v>
      </c>
      <c r="L34">
        <f t="shared" si="21"/>
        <v>0</v>
      </c>
      <c r="M34">
        <f t="shared" si="22"/>
        <v>0</v>
      </c>
      <c r="N34">
        <f t="shared" si="23"/>
        <v>0</v>
      </c>
      <c r="O34">
        <f t="shared" si="24"/>
        <v>0</v>
      </c>
      <c r="P34">
        <f t="shared" si="25"/>
        <v>0</v>
      </c>
      <c r="Q34">
        <f t="shared" si="26"/>
        <v>0</v>
      </c>
      <c r="R34">
        <f t="shared" si="27"/>
        <v>0</v>
      </c>
      <c r="S34">
        <f t="shared" si="28"/>
        <v>2500</v>
      </c>
    </row>
    <row r="35" spans="1:19" x14ac:dyDescent="0.25">
      <c r="A35" s="4">
        <v>5001</v>
      </c>
      <c r="B35" s="4">
        <v>7500</v>
      </c>
      <c r="C35" s="2">
        <v>1.5</v>
      </c>
      <c r="D35" s="1">
        <v>15000</v>
      </c>
      <c r="E35">
        <f t="shared" si="29"/>
        <v>0</v>
      </c>
      <c r="F35">
        <f t="shared" si="17"/>
        <v>0</v>
      </c>
      <c r="G35">
        <f t="shared" si="17"/>
        <v>0</v>
      </c>
      <c r="H35">
        <f t="shared" si="30"/>
        <v>0</v>
      </c>
      <c r="I35">
        <f t="shared" si="18"/>
        <v>0</v>
      </c>
      <c r="J35">
        <f t="shared" si="19"/>
        <v>0</v>
      </c>
      <c r="K35">
        <f t="shared" si="20"/>
        <v>0</v>
      </c>
      <c r="L35">
        <f t="shared" si="21"/>
        <v>0</v>
      </c>
      <c r="M35">
        <f t="shared" si="22"/>
        <v>0</v>
      </c>
      <c r="N35">
        <f t="shared" si="23"/>
        <v>0</v>
      </c>
      <c r="O35">
        <f t="shared" si="24"/>
        <v>0</v>
      </c>
      <c r="P35">
        <f t="shared" si="25"/>
        <v>0</v>
      </c>
      <c r="Q35">
        <f t="shared" si="26"/>
        <v>0</v>
      </c>
      <c r="R35">
        <f t="shared" si="27"/>
        <v>0</v>
      </c>
      <c r="S35">
        <f t="shared" si="28"/>
        <v>0</v>
      </c>
    </row>
    <row r="36" spans="1:19" x14ac:dyDescent="0.25">
      <c r="A36" s="4">
        <v>7501</v>
      </c>
      <c r="B36" s="4">
        <v>10000</v>
      </c>
      <c r="C36" s="2">
        <v>1.45</v>
      </c>
      <c r="D36" s="1">
        <v>20000</v>
      </c>
      <c r="E36">
        <f t="shared" si="29"/>
        <v>0</v>
      </c>
      <c r="F36">
        <f t="shared" si="17"/>
        <v>0</v>
      </c>
      <c r="G36">
        <f t="shared" si="17"/>
        <v>0</v>
      </c>
      <c r="H36">
        <f t="shared" si="30"/>
        <v>0</v>
      </c>
      <c r="I36">
        <f t="shared" si="18"/>
        <v>0</v>
      </c>
      <c r="J36">
        <f t="shared" si="19"/>
        <v>0</v>
      </c>
      <c r="K36">
        <f t="shared" si="20"/>
        <v>0</v>
      </c>
      <c r="L36">
        <f t="shared" si="21"/>
        <v>0</v>
      </c>
      <c r="M36">
        <f t="shared" si="22"/>
        <v>0</v>
      </c>
      <c r="N36">
        <f t="shared" si="23"/>
        <v>0</v>
      </c>
      <c r="O36">
        <f t="shared" si="24"/>
        <v>0</v>
      </c>
      <c r="P36">
        <f t="shared" si="25"/>
        <v>0</v>
      </c>
      <c r="Q36">
        <f t="shared" si="26"/>
        <v>0</v>
      </c>
      <c r="R36">
        <f t="shared" si="27"/>
        <v>0</v>
      </c>
      <c r="S36">
        <f t="shared" si="28"/>
        <v>0</v>
      </c>
    </row>
    <row r="37" spans="1:19" x14ac:dyDescent="0.25">
      <c r="A37" s="4">
        <v>10001</v>
      </c>
      <c r="B37" s="4">
        <v>15000</v>
      </c>
      <c r="C37" s="2">
        <v>1.4</v>
      </c>
      <c r="D37" s="1">
        <v>25000</v>
      </c>
      <c r="E37">
        <f t="shared" si="29"/>
        <v>0</v>
      </c>
      <c r="F37">
        <f t="shared" si="17"/>
        <v>0</v>
      </c>
      <c r="G37">
        <f t="shared" si="17"/>
        <v>0</v>
      </c>
      <c r="H37">
        <f t="shared" si="30"/>
        <v>0</v>
      </c>
      <c r="I37">
        <f t="shared" si="18"/>
        <v>0</v>
      </c>
      <c r="J37">
        <f t="shared" si="19"/>
        <v>0</v>
      </c>
      <c r="K37">
        <f t="shared" si="20"/>
        <v>0</v>
      </c>
      <c r="L37">
        <f t="shared" si="21"/>
        <v>0</v>
      </c>
      <c r="M37">
        <f t="shared" si="22"/>
        <v>0</v>
      </c>
      <c r="N37">
        <f t="shared" si="23"/>
        <v>0</v>
      </c>
      <c r="O37">
        <f t="shared" si="24"/>
        <v>0</v>
      </c>
      <c r="P37">
        <f t="shared" si="25"/>
        <v>0</v>
      </c>
      <c r="Q37">
        <f t="shared" si="26"/>
        <v>0</v>
      </c>
      <c r="R37">
        <f t="shared" si="27"/>
        <v>0</v>
      </c>
      <c r="S37">
        <f t="shared" si="28"/>
        <v>0</v>
      </c>
    </row>
    <row r="38" spans="1:19" x14ac:dyDescent="0.25">
      <c r="A38" s="4">
        <v>15001</v>
      </c>
      <c r="B38" s="4"/>
      <c r="C38" s="2">
        <v>1.35</v>
      </c>
      <c r="D38" s="1">
        <v>30000</v>
      </c>
      <c r="E38">
        <f>IF(E$4&gt;$B37,E$4-$B37,0)</f>
        <v>0</v>
      </c>
      <c r="F38">
        <f t="shared" ref="F38:S38" si="31">IF(F$4&gt;$B37,F$4-$B37,0)</f>
        <v>0</v>
      </c>
      <c r="G38">
        <f t="shared" si="31"/>
        <v>0</v>
      </c>
      <c r="H38">
        <f t="shared" si="31"/>
        <v>0</v>
      </c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  <c r="M38">
        <f t="shared" si="31"/>
        <v>0</v>
      </c>
      <c r="N38">
        <f t="shared" si="31"/>
        <v>0</v>
      </c>
      <c r="O38">
        <f t="shared" si="31"/>
        <v>0</v>
      </c>
      <c r="P38">
        <f t="shared" si="31"/>
        <v>0</v>
      </c>
      <c r="Q38">
        <f t="shared" si="31"/>
        <v>0</v>
      </c>
      <c r="R38">
        <f t="shared" si="31"/>
        <v>0</v>
      </c>
      <c r="S38">
        <f t="shared" si="31"/>
        <v>0</v>
      </c>
    </row>
    <row r="39" spans="1:19" x14ac:dyDescent="0.25">
      <c r="C39" s="2"/>
    </row>
    <row r="40" spans="1:19" x14ac:dyDescent="0.25">
      <c r="A40" s="5" t="s">
        <v>145</v>
      </c>
      <c r="C40" s="1"/>
      <c r="D40" s="1"/>
    </row>
    <row r="41" spans="1:19" x14ac:dyDescent="0.25">
      <c r="A41" s="13">
        <v>0</v>
      </c>
      <c r="B41">
        <v>5</v>
      </c>
      <c r="C41" s="1">
        <v>135</v>
      </c>
      <c r="D41" s="1"/>
      <c r="E41" s="3">
        <f>IF(E$5&gt;$B$41,$B$41,E$5)*$C$41</f>
        <v>0</v>
      </c>
      <c r="F41" s="3">
        <f t="shared" ref="F41:G41" si="32">IF(F$5&gt;$B$41,$B$41,F$5)*$C$41</f>
        <v>0</v>
      </c>
      <c r="G41" s="3">
        <f t="shared" si="32"/>
        <v>0</v>
      </c>
      <c r="H41" s="3">
        <f>IF(H$5&gt;$B$41,$B$41,H$5)*$C$41</f>
        <v>0</v>
      </c>
      <c r="I41" s="3">
        <f t="shared" ref="I41:S41" si="33">IF(I$5&gt;$B$41,$B$41,I$5)*$C$41</f>
        <v>0</v>
      </c>
      <c r="J41" s="3">
        <f t="shared" si="33"/>
        <v>0</v>
      </c>
      <c r="K41" s="3">
        <f t="shared" si="33"/>
        <v>675</v>
      </c>
      <c r="L41" s="3">
        <f t="shared" si="33"/>
        <v>675</v>
      </c>
      <c r="M41" s="3">
        <f t="shared" si="33"/>
        <v>675</v>
      </c>
      <c r="N41" s="3">
        <f t="shared" si="33"/>
        <v>675</v>
      </c>
      <c r="O41" s="3">
        <f t="shared" si="33"/>
        <v>675</v>
      </c>
      <c r="P41" s="3">
        <f t="shared" si="33"/>
        <v>675</v>
      </c>
      <c r="Q41" s="3">
        <f t="shared" si="33"/>
        <v>675</v>
      </c>
      <c r="R41" s="3">
        <f t="shared" si="33"/>
        <v>675</v>
      </c>
      <c r="S41" s="3">
        <f t="shared" si="33"/>
        <v>675</v>
      </c>
    </row>
    <row r="42" spans="1:19" x14ac:dyDescent="0.25">
      <c r="A42" s="13">
        <v>6</v>
      </c>
      <c r="B42">
        <v>25</v>
      </c>
      <c r="C42" s="1">
        <v>110</v>
      </c>
      <c r="D42" s="1"/>
      <c r="E42" s="3">
        <f>IF(E$5&gt;$B41,IF(E$5&lt;=$B42,E$5-$B41,$B42-$B41),0)*$C$42</f>
        <v>0</v>
      </c>
      <c r="F42" s="3">
        <f t="shared" ref="F42:G42" si="34">IF(F$5&gt;$B41,IF(F$5&lt;=$B42,F$5-$B41,$B42-$B41),0)*$C$42</f>
        <v>0</v>
      </c>
      <c r="G42" s="3">
        <f t="shared" si="34"/>
        <v>0</v>
      </c>
      <c r="H42" s="3">
        <f>IF(H$5&gt;$B41,IF(H$5&lt;=$B42,H$5-$B41,$B42-$B41),0)*$C$42</f>
        <v>0</v>
      </c>
      <c r="I42" s="3">
        <f t="shared" ref="I42:S42" si="35">IF(I$5&gt;$B41,IF(I$5&lt;=$B42,I$5-$B41,$B42-$B41),0)*$C$42</f>
        <v>0</v>
      </c>
      <c r="J42" s="3">
        <f t="shared" si="35"/>
        <v>0</v>
      </c>
      <c r="K42" s="3">
        <f t="shared" si="35"/>
        <v>2200</v>
      </c>
      <c r="L42" s="3">
        <f t="shared" si="35"/>
        <v>0</v>
      </c>
      <c r="M42" s="3">
        <f t="shared" si="35"/>
        <v>2200</v>
      </c>
      <c r="N42" s="3">
        <f t="shared" si="35"/>
        <v>0</v>
      </c>
      <c r="O42" s="3">
        <f t="shared" si="35"/>
        <v>2200</v>
      </c>
      <c r="P42" s="3">
        <f t="shared" si="35"/>
        <v>1650</v>
      </c>
      <c r="Q42" s="3">
        <f t="shared" si="35"/>
        <v>2200</v>
      </c>
      <c r="R42" s="3">
        <f t="shared" si="35"/>
        <v>550</v>
      </c>
      <c r="S42" s="3">
        <f t="shared" si="35"/>
        <v>2200</v>
      </c>
    </row>
    <row r="43" spans="1:19" x14ac:dyDescent="0.25">
      <c r="A43" s="13">
        <v>26</v>
      </c>
      <c r="B43">
        <v>50</v>
      </c>
      <c r="C43" s="1">
        <v>80</v>
      </c>
      <c r="D43" s="1"/>
      <c r="E43" s="3">
        <f t="shared" ref="E43:G43" si="36">IF(E$5&gt;$B42,IF(E$5&lt;=$B43,E$5-$B42,$B43-$B42),0)*$C$43</f>
        <v>0</v>
      </c>
      <c r="F43" s="3">
        <f t="shared" si="36"/>
        <v>0</v>
      </c>
      <c r="G43" s="3">
        <f t="shared" si="36"/>
        <v>0</v>
      </c>
      <c r="H43" s="3">
        <f>IF(H$5&gt;$B42,IF(H$5&lt;=$B43,H$5-$B42,$B43-$B42),0)*$C$43</f>
        <v>0</v>
      </c>
      <c r="I43" s="3">
        <f t="shared" ref="I43:S43" si="37">IF(I$5&gt;$B42,IF(I$5&lt;=$B43,I$5-$B42,$B43-$B42),0)*$C$43</f>
        <v>0</v>
      </c>
      <c r="J43" s="3">
        <f t="shared" si="37"/>
        <v>0</v>
      </c>
      <c r="K43" s="3">
        <f t="shared" si="37"/>
        <v>400</v>
      </c>
      <c r="L43" s="3">
        <f t="shared" si="37"/>
        <v>0</v>
      </c>
      <c r="M43" s="3">
        <f t="shared" si="37"/>
        <v>0</v>
      </c>
      <c r="N43" s="3">
        <f t="shared" si="37"/>
        <v>0</v>
      </c>
      <c r="O43" s="3">
        <f t="shared" si="37"/>
        <v>800</v>
      </c>
      <c r="P43" s="3">
        <f t="shared" si="37"/>
        <v>0</v>
      </c>
      <c r="Q43" s="3">
        <f t="shared" si="37"/>
        <v>400</v>
      </c>
      <c r="R43" s="3">
        <f t="shared" si="37"/>
        <v>0</v>
      </c>
      <c r="S43" s="3">
        <f t="shared" si="37"/>
        <v>2000</v>
      </c>
    </row>
    <row r="44" spans="1:19" x14ac:dyDescent="0.25">
      <c r="A44" s="13">
        <v>51</v>
      </c>
      <c r="B44">
        <v>100</v>
      </c>
      <c r="C44" s="1">
        <v>60</v>
      </c>
      <c r="D44" s="1"/>
      <c r="E44" s="3">
        <f t="shared" ref="E44:G44" si="38">IF(E$5&gt;$B43,IF(E$5&lt;=$B44,E$5-$B43,$B44-$B43),0)*$C$44</f>
        <v>0</v>
      </c>
      <c r="F44" s="3">
        <f t="shared" si="38"/>
        <v>0</v>
      </c>
      <c r="G44" s="3">
        <f t="shared" si="38"/>
        <v>0</v>
      </c>
      <c r="H44" s="3">
        <f>IF(H$5&gt;$B43,IF(H$5&lt;=$B44,H$5-$B43,$B44-$B43),0)*$C$44</f>
        <v>0</v>
      </c>
      <c r="I44" s="3">
        <f t="shared" ref="I44:S44" si="39">IF(I$5&gt;$B43,IF(I$5&lt;=$B44,I$5-$B43,$B44-$B43),0)*$C$44</f>
        <v>0</v>
      </c>
      <c r="J44" s="3">
        <f t="shared" si="39"/>
        <v>0</v>
      </c>
      <c r="K44" s="3">
        <f t="shared" si="39"/>
        <v>0</v>
      </c>
      <c r="L44" s="3">
        <f t="shared" si="39"/>
        <v>0</v>
      </c>
      <c r="M44" s="3">
        <f t="shared" si="39"/>
        <v>0</v>
      </c>
      <c r="N44" s="3">
        <f t="shared" si="39"/>
        <v>0</v>
      </c>
      <c r="O44" s="3">
        <f t="shared" si="39"/>
        <v>0</v>
      </c>
      <c r="P44" s="3">
        <f t="shared" si="39"/>
        <v>0</v>
      </c>
      <c r="Q44" s="3">
        <f t="shared" si="39"/>
        <v>0</v>
      </c>
      <c r="R44" s="3">
        <f t="shared" si="39"/>
        <v>0</v>
      </c>
      <c r="S44" s="3">
        <f t="shared" si="39"/>
        <v>1500</v>
      </c>
    </row>
    <row r="46" spans="1:19" x14ac:dyDescent="0.25">
      <c r="A46" s="5" t="s">
        <v>32</v>
      </c>
    </row>
    <row r="47" spans="1:19" x14ac:dyDescent="0.25">
      <c r="A47" t="s">
        <v>33</v>
      </c>
      <c r="B47" s="1">
        <v>650000</v>
      </c>
    </row>
    <row r="48" spans="1:19" x14ac:dyDescent="0.25">
      <c r="A48" t="s">
        <v>60</v>
      </c>
      <c r="B48" s="1">
        <v>232000</v>
      </c>
    </row>
    <row r="50" spans="1:19" x14ac:dyDescent="0.25">
      <c r="A50" t="s">
        <v>36</v>
      </c>
      <c r="E50" s="1">
        <f>$B$48/6*-1</f>
        <v>-38666.666666666664</v>
      </c>
      <c r="F50" s="1">
        <f t="shared" ref="F50:J50" si="40">$B$48/6*-1</f>
        <v>-38666.666666666664</v>
      </c>
      <c r="G50" s="1">
        <f t="shared" si="40"/>
        <v>-38666.666666666664</v>
      </c>
      <c r="H50" s="1">
        <f t="shared" si="40"/>
        <v>-38666.666666666664</v>
      </c>
      <c r="I50" s="1">
        <f t="shared" si="40"/>
        <v>-38666.666666666664</v>
      </c>
      <c r="J50" s="1">
        <f t="shared" si="40"/>
        <v>-38666.666666666664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t="s">
        <v>34</v>
      </c>
      <c r="E51" s="3">
        <f t="shared" ref="E51:S51" si="41">E24</f>
        <v>-27750</v>
      </c>
      <c r="F51" s="3">
        <f t="shared" si="41"/>
        <v>-28250</v>
      </c>
      <c r="G51" s="3">
        <f t="shared" si="41"/>
        <v>-25250</v>
      </c>
      <c r="H51" s="3">
        <f t="shared" si="41"/>
        <v>-29250</v>
      </c>
      <c r="I51" s="3">
        <f t="shared" si="41"/>
        <v>-24750</v>
      </c>
      <c r="J51" s="3">
        <f t="shared" si="41"/>
        <v>-24750</v>
      </c>
      <c r="K51" s="3">
        <f t="shared" si="41"/>
        <v>-5175</v>
      </c>
      <c r="L51" s="3">
        <f t="shared" si="41"/>
        <v>-9025</v>
      </c>
      <c r="M51" s="3">
        <f t="shared" si="41"/>
        <v>-1700</v>
      </c>
      <c r="N51" s="3">
        <f t="shared" si="41"/>
        <v>-6550</v>
      </c>
      <c r="O51" s="3">
        <f t="shared" si="41"/>
        <v>6375</v>
      </c>
      <c r="P51" s="3">
        <f t="shared" si="41"/>
        <v>7850</v>
      </c>
      <c r="Q51" s="3">
        <f t="shared" si="41"/>
        <v>11575</v>
      </c>
      <c r="R51" s="3">
        <f t="shared" si="41"/>
        <v>12037.5</v>
      </c>
      <c r="S51" s="3">
        <f t="shared" si="41"/>
        <v>34212.5</v>
      </c>
    </row>
    <row r="52" spans="1:19" x14ac:dyDescent="0.25">
      <c r="A52" t="s">
        <v>35</v>
      </c>
      <c r="E52" s="3">
        <f>B47+SUM(E50:E51)</f>
        <v>583583.33333333337</v>
      </c>
      <c r="F52" s="3">
        <f>E52+SUM(F50:F51)</f>
        <v>516666.66666666674</v>
      </c>
      <c r="G52" s="3">
        <f t="shared" ref="G52:S52" si="42">F52+SUM(G50:G51)</f>
        <v>452750.00000000006</v>
      </c>
      <c r="H52" s="3">
        <f t="shared" si="42"/>
        <v>384833.33333333337</v>
      </c>
      <c r="I52" s="3">
        <f t="shared" si="42"/>
        <v>321416.66666666669</v>
      </c>
      <c r="J52" s="3">
        <f t="shared" si="42"/>
        <v>258000.00000000003</v>
      </c>
      <c r="K52" s="3">
        <f t="shared" si="42"/>
        <v>252825.00000000003</v>
      </c>
      <c r="L52" s="3">
        <f t="shared" si="42"/>
        <v>243800.00000000003</v>
      </c>
      <c r="M52" s="3">
        <f t="shared" si="42"/>
        <v>242100.00000000003</v>
      </c>
      <c r="N52" s="3">
        <f t="shared" si="42"/>
        <v>235550.00000000003</v>
      </c>
      <c r="O52" s="3">
        <f t="shared" si="42"/>
        <v>241925.00000000003</v>
      </c>
      <c r="P52" s="3">
        <f t="shared" si="42"/>
        <v>249775.00000000003</v>
      </c>
      <c r="Q52" s="3">
        <f t="shared" si="42"/>
        <v>261350.00000000003</v>
      </c>
      <c r="R52" s="3">
        <f t="shared" si="42"/>
        <v>273387.5</v>
      </c>
      <c r="S52" s="3">
        <f t="shared" si="42"/>
        <v>307600</v>
      </c>
    </row>
    <row r="61" spans="1:19" x14ac:dyDescent="0.25">
      <c r="C61" t="s">
        <v>63</v>
      </c>
    </row>
    <row r="62" spans="1:19" x14ac:dyDescent="0.25">
      <c r="C62" s="14">
        <v>2</v>
      </c>
    </row>
    <row r="63" spans="1:19" x14ac:dyDescent="0.25">
      <c r="C63" s="14">
        <v>1.7</v>
      </c>
    </row>
    <row r="64" spans="1:19" x14ac:dyDescent="0.25">
      <c r="C64" s="2">
        <v>1.5</v>
      </c>
    </row>
    <row r="65" spans="1:3" x14ac:dyDescent="0.25">
      <c r="C65" s="2">
        <v>1.4</v>
      </c>
    </row>
    <row r="66" spans="1:3" x14ac:dyDescent="0.25">
      <c r="C66" s="2">
        <v>1.3</v>
      </c>
    </row>
    <row r="67" spans="1:3" x14ac:dyDescent="0.25">
      <c r="C67" s="2">
        <v>1.2</v>
      </c>
    </row>
    <row r="68" spans="1:3" x14ac:dyDescent="0.25">
      <c r="C68" s="2">
        <v>1.1000000000000001</v>
      </c>
    </row>
    <row r="72" spans="1:3" x14ac:dyDescent="0.25">
      <c r="A72" s="63" t="s">
        <v>152</v>
      </c>
      <c r="B72" s="64">
        <v>500</v>
      </c>
      <c r="C72" s="64">
        <v>5000</v>
      </c>
    </row>
    <row r="73" spans="1:3" x14ac:dyDescent="0.25">
      <c r="A73" t="s">
        <v>148</v>
      </c>
      <c r="B73" s="1">
        <v>5000</v>
      </c>
      <c r="C73" s="1">
        <v>10000</v>
      </c>
    </row>
    <row r="74" spans="1:3" x14ac:dyDescent="0.25">
      <c r="A74" t="s">
        <v>149</v>
      </c>
      <c r="B74" s="1">
        <v>1000</v>
      </c>
      <c r="C74" s="1">
        <v>8050</v>
      </c>
    </row>
    <row r="75" spans="1:3" x14ac:dyDescent="0.25">
      <c r="A75" t="s">
        <v>150</v>
      </c>
      <c r="B75" s="1">
        <v>675</v>
      </c>
      <c r="C75" s="1">
        <v>3275</v>
      </c>
    </row>
    <row r="76" spans="1:3" x14ac:dyDescent="0.25">
      <c r="A76" s="65" t="s">
        <v>153</v>
      </c>
      <c r="B76" s="1">
        <f>SUM(B74:B75)</f>
        <v>1675</v>
      </c>
      <c r="C76" s="1">
        <f>SUM(C74:C75)</f>
        <v>11325</v>
      </c>
    </row>
    <row r="77" spans="1:3" x14ac:dyDescent="0.25">
      <c r="A77" s="63" t="s">
        <v>151</v>
      </c>
      <c r="B77" s="62">
        <f>B76*12</f>
        <v>20100</v>
      </c>
      <c r="C77" s="62">
        <f>C76*12</f>
        <v>135900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F357-48B5-4796-AEDF-F40A3CBB6FD3}">
  <dimension ref="A1:E34"/>
  <sheetViews>
    <sheetView topLeftCell="A4" zoomScale="110" zoomScaleNormal="110" workbookViewId="0">
      <selection activeCell="B20" sqref="B20"/>
    </sheetView>
  </sheetViews>
  <sheetFormatPr defaultRowHeight="15" x14ac:dyDescent="0.25"/>
  <cols>
    <col min="1" max="1" width="48.85546875" style="35" customWidth="1"/>
    <col min="2" max="2" width="10.42578125" style="35" customWidth="1"/>
    <col min="3" max="3" width="12.42578125" style="35" customWidth="1"/>
    <col min="4" max="4" width="31.7109375" customWidth="1"/>
  </cols>
  <sheetData>
    <row r="1" spans="1:5" x14ac:dyDescent="0.25">
      <c r="A1" s="35" t="s">
        <v>29</v>
      </c>
      <c r="B1" s="42">
        <v>120</v>
      </c>
    </row>
    <row r="2" spans="1:5" x14ac:dyDescent="0.25">
      <c r="A2" s="36"/>
      <c r="B2" s="43"/>
    </row>
    <row r="4" spans="1:5" x14ac:dyDescent="0.25">
      <c r="A4" s="34" t="s">
        <v>11</v>
      </c>
      <c r="B4" s="34" t="s">
        <v>12</v>
      </c>
      <c r="C4" s="34" t="s">
        <v>13</v>
      </c>
      <c r="D4" s="5" t="s">
        <v>85</v>
      </c>
    </row>
    <row r="5" spans="1:5" ht="34.5" customHeight="1" x14ac:dyDescent="0.25">
      <c r="A5" s="40" t="s">
        <v>88</v>
      </c>
      <c r="B5" s="40">
        <v>100</v>
      </c>
      <c r="C5" s="44">
        <f>B5*$B$1</f>
        <v>12000</v>
      </c>
      <c r="D5" s="33" t="s">
        <v>89</v>
      </c>
    </row>
    <row r="6" spans="1:5" ht="45.75" customHeight="1" x14ac:dyDescent="0.25">
      <c r="A6" s="35" t="s">
        <v>14</v>
      </c>
      <c r="B6" s="35">
        <v>160</v>
      </c>
      <c r="C6" s="44">
        <f>B6*$B$1</f>
        <v>19200</v>
      </c>
      <c r="D6" s="33" t="s">
        <v>86</v>
      </c>
    </row>
    <row r="7" spans="1:5" ht="30" x14ac:dyDescent="0.25">
      <c r="A7" s="35" t="s">
        <v>15</v>
      </c>
      <c r="B7" s="35">
        <v>240</v>
      </c>
      <c r="C7" s="44">
        <f t="shared" ref="C7:C16" si="0">B7*$B$1</f>
        <v>28800</v>
      </c>
      <c r="D7" s="33" t="s">
        <v>87</v>
      </c>
    </row>
    <row r="8" spans="1:5" ht="33" customHeight="1" x14ac:dyDescent="0.25">
      <c r="A8" s="35" t="s">
        <v>16</v>
      </c>
      <c r="B8" s="35">
        <v>500</v>
      </c>
      <c r="C8" s="44">
        <f t="shared" si="0"/>
        <v>60000</v>
      </c>
      <c r="D8" s="33" t="s">
        <v>90</v>
      </c>
    </row>
    <row r="9" spans="1:5" x14ac:dyDescent="0.25">
      <c r="A9" s="35" t="s">
        <v>17</v>
      </c>
      <c r="C9" s="44"/>
    </row>
    <row r="10" spans="1:5" ht="30" x14ac:dyDescent="0.25">
      <c r="A10" s="41" t="s">
        <v>18</v>
      </c>
      <c r="B10" s="35">
        <v>320</v>
      </c>
      <c r="C10" s="44">
        <f t="shared" si="0"/>
        <v>38400</v>
      </c>
      <c r="D10" s="33" t="s">
        <v>91</v>
      </c>
    </row>
    <row r="11" spans="1:5" x14ac:dyDescent="0.25">
      <c r="A11" s="41" t="s">
        <v>19</v>
      </c>
      <c r="B11" s="35">
        <v>120</v>
      </c>
      <c r="C11" s="44">
        <f t="shared" si="0"/>
        <v>14400</v>
      </c>
      <c r="D11" s="33"/>
    </row>
    <row r="12" spans="1:5" ht="30" x14ac:dyDescent="0.25">
      <c r="A12" s="41" t="s">
        <v>20</v>
      </c>
      <c r="B12" s="35">
        <v>40</v>
      </c>
      <c r="C12" s="44">
        <f t="shared" si="0"/>
        <v>4800</v>
      </c>
      <c r="D12" s="33" t="s">
        <v>92</v>
      </c>
    </row>
    <row r="13" spans="1:5" ht="30" x14ac:dyDescent="0.25">
      <c r="A13" s="35" t="s">
        <v>21</v>
      </c>
      <c r="B13" s="35">
        <v>160</v>
      </c>
      <c r="C13" s="44">
        <f t="shared" si="0"/>
        <v>19200</v>
      </c>
      <c r="D13" s="33" t="s">
        <v>93</v>
      </c>
      <c r="E13" t="s">
        <v>147</v>
      </c>
    </row>
    <row r="14" spans="1:5" x14ac:dyDescent="0.25">
      <c r="A14" s="48" t="s">
        <v>130</v>
      </c>
      <c r="B14" s="49">
        <v>160</v>
      </c>
      <c r="C14" s="50">
        <f>B14*$B$1</f>
        <v>19200</v>
      </c>
      <c r="D14" s="33" t="s">
        <v>131</v>
      </c>
    </row>
    <row r="15" spans="1:5" x14ac:dyDescent="0.25">
      <c r="A15" s="39" t="s">
        <v>31</v>
      </c>
      <c r="B15" s="35">
        <v>60</v>
      </c>
      <c r="C15" s="44">
        <f t="shared" si="0"/>
        <v>7200</v>
      </c>
    </row>
    <row r="16" spans="1:5" ht="30" x14ac:dyDescent="0.25">
      <c r="A16" s="40" t="s">
        <v>84</v>
      </c>
      <c r="B16" s="35">
        <v>80</v>
      </c>
      <c r="C16" s="44">
        <f t="shared" si="0"/>
        <v>9600</v>
      </c>
      <c r="D16" s="33" t="s">
        <v>94</v>
      </c>
    </row>
    <row r="17" spans="1:4" ht="45" x14ac:dyDescent="0.25">
      <c r="A17" s="40" t="s">
        <v>98</v>
      </c>
      <c r="C17"/>
      <c r="D17" s="33" t="s">
        <v>95</v>
      </c>
    </row>
    <row r="18" spans="1:4" x14ac:dyDescent="0.25">
      <c r="C18" s="44"/>
    </row>
    <row r="19" spans="1:4" ht="15.75" thickBot="1" x14ac:dyDescent="0.3">
      <c r="A19" s="35" t="s">
        <v>30</v>
      </c>
      <c r="B19" s="37">
        <f>SUM(B5:B18)</f>
        <v>1940</v>
      </c>
      <c r="C19" s="45">
        <f>SUM(C5:C18)</f>
        <v>232800</v>
      </c>
    </row>
    <row r="21" spans="1:4" x14ac:dyDescent="0.25">
      <c r="C21" s="46"/>
    </row>
    <row r="22" spans="1:4" x14ac:dyDescent="0.25">
      <c r="A22" s="35" t="s">
        <v>38</v>
      </c>
      <c r="B22" s="35">
        <v>2</v>
      </c>
    </row>
    <row r="23" spans="1:4" x14ac:dyDescent="0.25">
      <c r="A23" s="35" t="s">
        <v>39</v>
      </c>
      <c r="B23" s="35">
        <f>B19/(B22*160)</f>
        <v>6.0625</v>
      </c>
    </row>
    <row r="27" spans="1:4" x14ac:dyDescent="0.25">
      <c r="A27" s="35" t="s">
        <v>55</v>
      </c>
    </row>
    <row r="28" spans="1:4" x14ac:dyDescent="0.25">
      <c r="A28" s="38" t="s">
        <v>56</v>
      </c>
    </row>
    <row r="31" spans="1:4" x14ac:dyDescent="0.25">
      <c r="A31" s="35" t="s">
        <v>99</v>
      </c>
    </row>
    <row r="32" spans="1:4" ht="60" x14ac:dyDescent="0.25">
      <c r="A32" s="33" t="s">
        <v>97</v>
      </c>
    </row>
    <row r="33" spans="1:1" x14ac:dyDescent="0.25">
      <c r="A33" s="33"/>
    </row>
    <row r="34" spans="1:1" x14ac:dyDescent="0.25">
      <c r="A34" s="3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90136-EBEA-4B62-9CFB-CB53C73609BF}">
  <dimension ref="A3:A27"/>
  <sheetViews>
    <sheetView topLeftCell="A2" zoomScale="120" workbookViewId="0">
      <selection activeCell="G11" sqref="G11"/>
    </sheetView>
  </sheetViews>
  <sheetFormatPr defaultRowHeight="15" x14ac:dyDescent="0.25"/>
  <cols>
    <col min="1" max="1" width="60.5703125" customWidth="1"/>
  </cols>
  <sheetData>
    <row r="3" spans="1:1" x14ac:dyDescent="0.25">
      <c r="A3" s="5" t="s">
        <v>22</v>
      </c>
    </row>
    <row r="4" spans="1:1" x14ac:dyDescent="0.25">
      <c r="A4" s="13" t="s">
        <v>43</v>
      </c>
    </row>
    <row r="5" spans="1:1" x14ac:dyDescent="0.25">
      <c r="A5" s="15" t="s">
        <v>47</v>
      </c>
    </row>
    <row r="6" spans="1:1" x14ac:dyDescent="0.25">
      <c r="A6" s="15" t="s">
        <v>50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37</v>
      </c>
    </row>
    <row r="12" spans="1:1" x14ac:dyDescent="0.25">
      <c r="A12" t="s">
        <v>28</v>
      </c>
    </row>
    <row r="13" spans="1:1" x14ac:dyDescent="0.25">
      <c r="A13" t="s">
        <v>23</v>
      </c>
    </row>
    <row r="14" spans="1:1" x14ac:dyDescent="0.25">
      <c r="A14" t="s">
        <v>46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44</v>
      </c>
    </row>
    <row r="23" spans="1:1" x14ac:dyDescent="0.25">
      <c r="A23" t="s">
        <v>45</v>
      </c>
    </row>
    <row r="26" spans="1:1" x14ac:dyDescent="0.25">
      <c r="A26" t="s">
        <v>48</v>
      </c>
    </row>
    <row r="27" spans="1:1" x14ac:dyDescent="0.25">
      <c r="A27" t="s">
        <v>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FF998-5362-4301-879B-75096A9EB20E}">
  <dimension ref="A1:B15"/>
  <sheetViews>
    <sheetView workbookViewId="0">
      <selection activeCell="D3" sqref="D3"/>
    </sheetView>
  </sheetViews>
  <sheetFormatPr defaultRowHeight="15" x14ac:dyDescent="0.25"/>
  <cols>
    <col min="1" max="1" width="25.28515625" style="25" customWidth="1"/>
    <col min="2" max="2" width="22.5703125" style="26" customWidth="1"/>
  </cols>
  <sheetData>
    <row r="1" spans="1:2" ht="35.1" customHeight="1" x14ac:dyDescent="0.3">
      <c r="A1" s="27"/>
      <c r="B1" s="32" t="s">
        <v>64</v>
      </c>
    </row>
    <row r="2" spans="1:2" ht="35.1" customHeight="1" x14ac:dyDescent="0.25">
      <c r="A2" s="28" t="s">
        <v>65</v>
      </c>
      <c r="B2" s="29">
        <v>1</v>
      </c>
    </row>
    <row r="3" spans="1:2" ht="35.1" customHeight="1" x14ac:dyDescent="0.25">
      <c r="A3" s="28" t="s">
        <v>66</v>
      </c>
      <c r="B3" s="29" t="s">
        <v>77</v>
      </c>
    </row>
    <row r="4" spans="1:2" ht="35.1" customHeight="1" x14ac:dyDescent="0.25">
      <c r="A4" s="28" t="s">
        <v>4</v>
      </c>
      <c r="B4" s="29" t="s">
        <v>78</v>
      </c>
    </row>
    <row r="5" spans="1:2" ht="35.1" customHeight="1" x14ac:dyDescent="0.25">
      <c r="A5" s="28" t="s">
        <v>67</v>
      </c>
      <c r="B5" s="29" t="s">
        <v>79</v>
      </c>
    </row>
    <row r="6" spans="1:2" ht="35.1" customHeight="1" x14ac:dyDescent="0.25">
      <c r="A6" s="28" t="s">
        <v>68</v>
      </c>
      <c r="B6" s="29" t="s">
        <v>79</v>
      </c>
    </row>
    <row r="7" spans="1:2" ht="35.1" customHeight="1" x14ac:dyDescent="0.25">
      <c r="A7" s="28" t="s">
        <v>69</v>
      </c>
      <c r="B7" s="29" t="s">
        <v>80</v>
      </c>
    </row>
    <row r="8" spans="1:2" ht="35.1" customHeight="1" x14ac:dyDescent="0.25">
      <c r="A8" s="28" t="s">
        <v>70</v>
      </c>
      <c r="B8" s="29" t="s">
        <v>79</v>
      </c>
    </row>
    <row r="9" spans="1:2" ht="35.1" customHeight="1" x14ac:dyDescent="0.25">
      <c r="A9" s="28" t="s">
        <v>71</v>
      </c>
      <c r="B9" s="29" t="s">
        <v>79</v>
      </c>
    </row>
    <row r="10" spans="1:2" ht="35.1" customHeight="1" x14ac:dyDescent="0.25">
      <c r="A10" s="28" t="s">
        <v>72</v>
      </c>
      <c r="B10" s="29" t="s">
        <v>79</v>
      </c>
    </row>
    <row r="11" spans="1:2" ht="35.1" customHeight="1" x14ac:dyDescent="0.25">
      <c r="A11" s="28" t="s">
        <v>73</v>
      </c>
      <c r="B11" s="29" t="s">
        <v>81</v>
      </c>
    </row>
    <row r="12" spans="1:2" ht="35.1" customHeight="1" x14ac:dyDescent="0.25">
      <c r="A12" s="28" t="s">
        <v>74</v>
      </c>
      <c r="B12" s="29" t="s">
        <v>82</v>
      </c>
    </row>
    <row r="13" spans="1:2" ht="35.1" customHeight="1" x14ac:dyDescent="0.25">
      <c r="A13" s="30" t="s">
        <v>75</v>
      </c>
      <c r="B13" s="31" t="s">
        <v>79</v>
      </c>
    </row>
    <row r="14" spans="1:2" ht="35.1" customHeight="1" x14ac:dyDescent="0.25">
      <c r="A14" s="30" t="s">
        <v>76</v>
      </c>
      <c r="B14" s="31" t="s">
        <v>79</v>
      </c>
    </row>
    <row r="15" spans="1:2" ht="35.1" customHeight="1" x14ac:dyDescent="0.25">
      <c r="A15" s="30" t="s">
        <v>83</v>
      </c>
      <c r="B15" s="31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7923-94E6-4891-AC56-EC4DEC8D5354}">
  <dimension ref="A2:B22"/>
  <sheetViews>
    <sheetView workbookViewId="0">
      <selection activeCell="B12" sqref="B12"/>
    </sheetView>
  </sheetViews>
  <sheetFormatPr defaultRowHeight="15" x14ac:dyDescent="0.25"/>
  <cols>
    <col min="1" max="1" width="37.85546875" customWidth="1"/>
    <col min="2" max="2" width="46" customWidth="1"/>
  </cols>
  <sheetData>
    <row r="2" spans="1:2" x14ac:dyDescent="0.25">
      <c r="A2" s="5" t="s">
        <v>100</v>
      </c>
      <c r="B2" s="5" t="s">
        <v>101</v>
      </c>
    </row>
    <row r="3" spans="1:2" x14ac:dyDescent="0.25">
      <c r="A3" t="s">
        <v>102</v>
      </c>
    </row>
    <row r="4" spans="1:2" x14ac:dyDescent="0.25">
      <c r="A4" t="s">
        <v>103</v>
      </c>
      <c r="B4" t="s">
        <v>110</v>
      </c>
    </row>
    <row r="5" spans="1:2" x14ac:dyDescent="0.25">
      <c r="A5" t="s">
        <v>105</v>
      </c>
      <c r="B5" t="s">
        <v>107</v>
      </c>
    </row>
    <row r="6" spans="1:2" x14ac:dyDescent="0.25">
      <c r="A6" t="s">
        <v>106</v>
      </c>
      <c r="B6" t="s">
        <v>108</v>
      </c>
    </row>
    <row r="7" spans="1:2" x14ac:dyDescent="0.25">
      <c r="A7" t="s">
        <v>104</v>
      </c>
    </row>
    <row r="8" spans="1:2" x14ac:dyDescent="0.25">
      <c r="A8" t="s">
        <v>118</v>
      </c>
      <c r="B8" t="s">
        <v>107</v>
      </c>
    </row>
    <row r="9" spans="1:2" x14ac:dyDescent="0.25">
      <c r="A9" t="s">
        <v>109</v>
      </c>
    </row>
    <row r="10" spans="1:2" x14ac:dyDescent="0.25">
      <c r="A10" t="s">
        <v>111</v>
      </c>
    </row>
    <row r="11" spans="1:2" x14ac:dyDescent="0.25">
      <c r="A11" t="s">
        <v>112</v>
      </c>
    </row>
    <row r="12" spans="1:2" x14ac:dyDescent="0.25">
      <c r="A12" t="s">
        <v>113</v>
      </c>
    </row>
    <row r="13" spans="1:2" x14ac:dyDescent="0.25">
      <c r="A13" t="s">
        <v>114</v>
      </c>
      <c r="B13" t="s">
        <v>128</v>
      </c>
    </row>
    <row r="15" spans="1:2" x14ac:dyDescent="0.25">
      <c r="A15" t="s">
        <v>119</v>
      </c>
      <c r="B15" t="s">
        <v>120</v>
      </c>
    </row>
    <row r="16" spans="1:2" x14ac:dyDescent="0.25">
      <c r="A16" t="s">
        <v>125</v>
      </c>
      <c r="B16" t="s">
        <v>126</v>
      </c>
    </row>
    <row r="17" spans="1:2" x14ac:dyDescent="0.25">
      <c r="A17" t="s">
        <v>127</v>
      </c>
    </row>
    <row r="18" spans="1:2" x14ac:dyDescent="0.25">
      <c r="A18" t="s">
        <v>115</v>
      </c>
    </row>
    <row r="19" spans="1:2" x14ac:dyDescent="0.25">
      <c r="A19" t="s">
        <v>116</v>
      </c>
    </row>
    <row r="20" spans="1:2" x14ac:dyDescent="0.25">
      <c r="A20" t="s">
        <v>117</v>
      </c>
    </row>
    <row r="21" spans="1:2" x14ac:dyDescent="0.25">
      <c r="A21" t="s">
        <v>121</v>
      </c>
      <c r="B21" t="s">
        <v>122</v>
      </c>
    </row>
    <row r="22" spans="1:2" x14ac:dyDescent="0.25">
      <c r="A22" t="s">
        <v>123</v>
      </c>
      <c r="B22" t="s">
        <v>124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D196-1706-43C1-961A-8E06B4F28839}">
  <dimension ref="A5:H37"/>
  <sheetViews>
    <sheetView tabSelected="1" topLeftCell="A4" workbookViewId="0">
      <selection activeCell="G20" sqref="G20"/>
    </sheetView>
  </sheetViews>
  <sheetFormatPr defaultRowHeight="15" x14ac:dyDescent="0.25"/>
  <cols>
    <col min="1" max="1" width="23" customWidth="1"/>
    <col min="2" max="4" width="15.7109375" customWidth="1"/>
  </cols>
  <sheetData>
    <row r="5" spans="1:6" x14ac:dyDescent="0.25">
      <c r="C5" s="55" t="s">
        <v>136</v>
      </c>
      <c r="D5" s="56" t="s">
        <v>137</v>
      </c>
    </row>
    <row r="6" spans="1:6" x14ac:dyDescent="0.25">
      <c r="A6" t="s">
        <v>132</v>
      </c>
      <c r="B6" s="1">
        <v>750000</v>
      </c>
      <c r="D6" s="57"/>
    </row>
    <row r="7" spans="1:6" x14ac:dyDescent="0.25">
      <c r="A7" t="s">
        <v>133</v>
      </c>
      <c r="B7">
        <v>400</v>
      </c>
      <c r="D7" s="57"/>
    </row>
    <row r="8" spans="1:6" x14ac:dyDescent="0.25">
      <c r="A8" t="s">
        <v>134</v>
      </c>
      <c r="D8" s="57"/>
    </row>
    <row r="9" spans="1:6" x14ac:dyDescent="0.25">
      <c r="A9" s="53" t="s">
        <v>138</v>
      </c>
      <c r="B9" s="14">
        <v>2</v>
      </c>
      <c r="C9" s="1">
        <v>7500</v>
      </c>
      <c r="D9" s="57"/>
    </row>
    <row r="10" spans="1:6" x14ac:dyDescent="0.25">
      <c r="A10" s="52" t="s">
        <v>135</v>
      </c>
      <c r="B10" s="14">
        <v>3.28</v>
      </c>
      <c r="C10" s="54">
        <f>B10*B7</f>
        <v>1312</v>
      </c>
      <c r="D10" s="58">
        <f>C10*12</f>
        <v>15744</v>
      </c>
      <c r="F10" t="s">
        <v>140</v>
      </c>
    </row>
    <row r="13" spans="1:6" x14ac:dyDescent="0.25">
      <c r="B13" t="s">
        <v>139</v>
      </c>
      <c r="D13" s="60">
        <f>3000000/D10</f>
        <v>190.54878048780489</v>
      </c>
    </row>
    <row r="17" spans="1:8" x14ac:dyDescent="0.25">
      <c r="A17" s="68"/>
      <c r="B17" s="68"/>
      <c r="C17" s="69" t="s">
        <v>136</v>
      </c>
      <c r="D17" s="70" t="s">
        <v>137</v>
      </c>
    </row>
    <row r="18" spans="1:8" x14ac:dyDescent="0.25">
      <c r="A18" t="s">
        <v>132</v>
      </c>
      <c r="B18" s="1">
        <v>2000000000</v>
      </c>
      <c r="D18" s="57"/>
    </row>
    <row r="19" spans="1:8" x14ac:dyDescent="0.25">
      <c r="A19" t="s">
        <v>133</v>
      </c>
      <c r="B19">
        <v>2000</v>
      </c>
      <c r="D19" s="57"/>
    </row>
    <row r="20" spans="1:8" x14ac:dyDescent="0.25">
      <c r="A20" t="s">
        <v>134</v>
      </c>
      <c r="D20" s="57"/>
    </row>
    <row r="21" spans="1:8" x14ac:dyDescent="0.25">
      <c r="A21" s="53" t="s">
        <v>138</v>
      </c>
      <c r="B21" s="14">
        <v>2</v>
      </c>
      <c r="C21" s="1">
        <v>5200</v>
      </c>
      <c r="D21" s="57"/>
    </row>
    <row r="22" spans="1:8" x14ac:dyDescent="0.25">
      <c r="A22" s="52" t="s">
        <v>135</v>
      </c>
      <c r="B22" s="14">
        <v>3.28</v>
      </c>
      <c r="C22" s="54">
        <f>B19*B22</f>
        <v>6560</v>
      </c>
      <c r="D22" s="71">
        <f>C22*12</f>
        <v>78720</v>
      </c>
    </row>
    <row r="24" spans="1:8" x14ac:dyDescent="0.25">
      <c r="H24">
        <f>3000000/78720</f>
        <v>38.109756097560975</v>
      </c>
    </row>
    <row r="25" spans="1:8" x14ac:dyDescent="0.25">
      <c r="B25" t="s">
        <v>139</v>
      </c>
      <c r="D25" s="60">
        <f>3000000/D22</f>
        <v>38.109756097560975</v>
      </c>
    </row>
    <row r="29" spans="1:8" x14ac:dyDescent="0.25">
      <c r="C29" s="55" t="s">
        <v>136</v>
      </c>
      <c r="D29" s="56" t="s">
        <v>137</v>
      </c>
    </row>
    <row r="30" spans="1:8" x14ac:dyDescent="0.25">
      <c r="A30" t="s">
        <v>132</v>
      </c>
      <c r="B30" s="1">
        <v>3100000000</v>
      </c>
      <c r="D30" s="57"/>
    </row>
    <row r="31" spans="1:8" x14ac:dyDescent="0.25">
      <c r="A31" t="s">
        <v>133</v>
      </c>
      <c r="B31">
        <v>3365</v>
      </c>
      <c r="D31" s="57"/>
    </row>
    <row r="32" spans="1:8" x14ac:dyDescent="0.25">
      <c r="A32" t="s">
        <v>134</v>
      </c>
      <c r="D32" s="57"/>
    </row>
    <row r="33" spans="1:4" x14ac:dyDescent="0.25">
      <c r="A33" s="53" t="s">
        <v>138</v>
      </c>
      <c r="B33" s="14">
        <v>2</v>
      </c>
      <c r="C33" s="1">
        <v>5200</v>
      </c>
      <c r="D33" s="57"/>
    </row>
    <row r="34" spans="1:4" x14ac:dyDescent="0.25">
      <c r="A34" s="52" t="s">
        <v>135</v>
      </c>
      <c r="B34" s="14">
        <v>3.28</v>
      </c>
      <c r="C34" s="54">
        <f>B31*B34</f>
        <v>11037.199999999999</v>
      </c>
      <c r="D34" s="58">
        <f>C34*12</f>
        <v>132446.39999999999</v>
      </c>
    </row>
    <row r="37" spans="1:4" x14ac:dyDescent="0.25">
      <c r="B37" t="s">
        <v>139</v>
      </c>
      <c r="D37" s="60">
        <f>3000000/D34</f>
        <v>22.650672271953031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 Model</vt:lpstr>
      <vt:lpstr>Dev. Items</vt:lpstr>
      <vt:lpstr>Discussion</vt:lpstr>
      <vt:lpstr>Tech Buyers Guide</vt:lpstr>
      <vt:lpstr>Tasks</vt:lpstr>
      <vt:lpstr>Pitch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Peters</dc:creator>
  <cp:lastModifiedBy>Wes Buxton</cp:lastModifiedBy>
  <dcterms:created xsi:type="dcterms:W3CDTF">2016-12-09T05:08:33Z</dcterms:created>
  <dcterms:modified xsi:type="dcterms:W3CDTF">2019-08-19T14:27:25Z</dcterms:modified>
</cp:coreProperties>
</file>